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CONSEJO ACADÉMICO\"/>
    </mc:Choice>
  </mc:AlternateContent>
  <bookViews>
    <workbookView xWindow="0" yWindow="0" windowWidth="23040" windowHeight="8805"/>
  </bookViews>
  <sheets>
    <sheet name="T2-2021 ACC" sheetId="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'T2-2021 ACC'!$B$3:$C$188</definedName>
    <definedName name="Excel_BuiltIn_Print_Titles_4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S188" i="1" l="1"/>
  <c r="U179" i="1" s="1"/>
  <c r="S187" i="1"/>
  <c r="C186" i="1"/>
  <c r="L183" i="1"/>
  <c r="M183" i="1" s="1"/>
  <c r="Q182" i="1"/>
  <c r="I182" i="1"/>
  <c r="F182" i="1"/>
  <c r="E182" i="1"/>
  <c r="D182" i="1"/>
  <c r="B182" i="1"/>
  <c r="Q181" i="1"/>
  <c r="I181" i="1"/>
  <c r="F181" i="1"/>
  <c r="E181" i="1"/>
  <c r="D181" i="1"/>
  <c r="B181" i="1"/>
  <c r="L180" i="1"/>
  <c r="M180" i="1" s="1"/>
  <c r="Q179" i="1"/>
  <c r="I179" i="1"/>
  <c r="F179" i="1"/>
  <c r="E179" i="1"/>
  <c r="D179" i="1"/>
  <c r="B179" i="1"/>
  <c r="Q178" i="1"/>
  <c r="I178" i="1"/>
  <c r="F178" i="1"/>
  <c r="E178" i="1"/>
  <c r="D178" i="1"/>
  <c r="B178" i="1"/>
  <c r="Q177" i="1"/>
  <c r="I177" i="1"/>
  <c r="F177" i="1"/>
  <c r="E177" i="1"/>
  <c r="D177" i="1"/>
  <c r="B177" i="1"/>
  <c r="Q176" i="1"/>
  <c r="I176" i="1"/>
  <c r="F176" i="1"/>
  <c r="E176" i="1"/>
  <c r="D176" i="1"/>
  <c r="B176" i="1"/>
  <c r="U175" i="1"/>
  <c r="Q175" i="1"/>
  <c r="I175" i="1"/>
  <c r="F175" i="1"/>
  <c r="E175" i="1"/>
  <c r="D175" i="1"/>
  <c r="B175" i="1"/>
  <c r="Q174" i="1"/>
  <c r="I174" i="1"/>
  <c r="F174" i="1"/>
  <c r="E174" i="1"/>
  <c r="D174" i="1"/>
  <c r="B174" i="1"/>
  <c r="U173" i="1"/>
  <c r="Q173" i="1"/>
  <c r="I173" i="1"/>
  <c r="F173" i="1"/>
  <c r="E173" i="1"/>
  <c r="D173" i="1"/>
  <c r="B173" i="1"/>
  <c r="L172" i="1"/>
  <c r="M172" i="1" s="1"/>
  <c r="V171" i="1"/>
  <c r="S171" i="1" s="1"/>
  <c r="Q171" i="1"/>
  <c r="I171" i="1"/>
  <c r="F171" i="1"/>
  <c r="E171" i="1"/>
  <c r="D171" i="1"/>
  <c r="B171" i="1"/>
  <c r="Q170" i="1"/>
  <c r="I170" i="1"/>
  <c r="J170" i="1" s="1"/>
  <c r="F170" i="1"/>
  <c r="E170" i="1"/>
  <c r="D170" i="1"/>
  <c r="B170" i="1"/>
  <c r="Q169" i="1"/>
  <c r="I169" i="1"/>
  <c r="F169" i="1"/>
  <c r="E169" i="1"/>
  <c r="D169" i="1"/>
  <c r="B169" i="1"/>
  <c r="Q168" i="1"/>
  <c r="I168" i="1"/>
  <c r="F168" i="1"/>
  <c r="E168" i="1"/>
  <c r="D168" i="1"/>
  <c r="B168" i="1"/>
  <c r="U167" i="1"/>
  <c r="Q167" i="1"/>
  <c r="I167" i="1"/>
  <c r="F167" i="1"/>
  <c r="G167" i="1" s="1"/>
  <c r="E167" i="1"/>
  <c r="D167" i="1"/>
  <c r="B167" i="1"/>
  <c r="L166" i="1"/>
  <c r="M166" i="1" s="1"/>
  <c r="U165" i="1"/>
  <c r="Q165" i="1"/>
  <c r="I165" i="1"/>
  <c r="F165" i="1"/>
  <c r="E165" i="1"/>
  <c r="D165" i="1"/>
  <c r="B165" i="1"/>
  <c r="V164" i="1"/>
  <c r="U164" i="1"/>
  <c r="Q164" i="1"/>
  <c r="I164" i="1"/>
  <c r="F164" i="1"/>
  <c r="E164" i="1"/>
  <c r="D164" i="1"/>
  <c r="B164" i="1"/>
  <c r="V163" i="1"/>
  <c r="Q163" i="1"/>
  <c r="I163" i="1"/>
  <c r="F163" i="1"/>
  <c r="E163" i="1"/>
  <c r="D163" i="1"/>
  <c r="B163" i="1"/>
  <c r="Q162" i="1"/>
  <c r="I162" i="1"/>
  <c r="F162" i="1"/>
  <c r="E162" i="1"/>
  <c r="D162" i="1"/>
  <c r="B162" i="1"/>
  <c r="Q161" i="1"/>
  <c r="I161" i="1"/>
  <c r="F161" i="1"/>
  <c r="E161" i="1"/>
  <c r="D161" i="1"/>
  <c r="B161" i="1"/>
  <c r="U160" i="1"/>
  <c r="Q160" i="1"/>
  <c r="I160" i="1"/>
  <c r="F160" i="1"/>
  <c r="E160" i="1"/>
  <c r="D160" i="1"/>
  <c r="B160" i="1"/>
  <c r="V159" i="1"/>
  <c r="S159" i="1" s="1"/>
  <c r="Q159" i="1"/>
  <c r="I159" i="1"/>
  <c r="F159" i="1"/>
  <c r="E159" i="1"/>
  <c r="D159" i="1"/>
  <c r="B159" i="1"/>
  <c r="U158" i="1"/>
  <c r="Q158" i="1"/>
  <c r="I158" i="1"/>
  <c r="F158" i="1"/>
  <c r="E158" i="1"/>
  <c r="D158" i="1"/>
  <c r="B158" i="1"/>
  <c r="V157" i="1"/>
  <c r="S157" i="1" s="1"/>
  <c r="U157" i="1"/>
  <c r="Q157" i="1"/>
  <c r="I157" i="1"/>
  <c r="F157" i="1"/>
  <c r="E157" i="1"/>
  <c r="D157" i="1"/>
  <c r="B157" i="1"/>
  <c r="V156" i="1"/>
  <c r="S156" i="1" s="1"/>
  <c r="U156" i="1"/>
  <c r="Q156" i="1"/>
  <c r="I156" i="1"/>
  <c r="F156" i="1"/>
  <c r="E156" i="1"/>
  <c r="D156" i="1"/>
  <c r="B156" i="1"/>
  <c r="V155" i="1"/>
  <c r="S155" i="1" s="1"/>
  <c r="Q155" i="1"/>
  <c r="I155" i="1"/>
  <c r="F155" i="1"/>
  <c r="E155" i="1"/>
  <c r="D155" i="1"/>
  <c r="B155" i="1"/>
  <c r="U154" i="1"/>
  <c r="Q154" i="1"/>
  <c r="I154" i="1"/>
  <c r="F154" i="1"/>
  <c r="E154" i="1"/>
  <c r="D154" i="1"/>
  <c r="B154" i="1"/>
  <c r="L153" i="1"/>
  <c r="M153" i="1" s="1"/>
  <c r="Q152" i="1"/>
  <c r="I152" i="1"/>
  <c r="F152" i="1"/>
  <c r="E152" i="1"/>
  <c r="D152" i="1"/>
  <c r="B152" i="1"/>
  <c r="Q151" i="1"/>
  <c r="I151" i="1"/>
  <c r="F151" i="1"/>
  <c r="E151" i="1"/>
  <c r="D151" i="1"/>
  <c r="B151" i="1"/>
  <c r="U150" i="1"/>
  <c r="Q150" i="1"/>
  <c r="I150" i="1"/>
  <c r="F150" i="1"/>
  <c r="E150" i="1"/>
  <c r="D150" i="1"/>
  <c r="B150" i="1"/>
  <c r="V149" i="1"/>
  <c r="S149" i="1" s="1"/>
  <c r="U149" i="1"/>
  <c r="Q149" i="1"/>
  <c r="I149" i="1"/>
  <c r="F149" i="1"/>
  <c r="E149" i="1"/>
  <c r="D149" i="1"/>
  <c r="B149" i="1"/>
  <c r="V148" i="1"/>
  <c r="S148" i="1" s="1"/>
  <c r="Q148" i="1"/>
  <c r="I148" i="1"/>
  <c r="F148" i="1"/>
  <c r="E148" i="1"/>
  <c r="D148" i="1"/>
  <c r="B148" i="1"/>
  <c r="L146" i="1"/>
  <c r="M146" i="1" s="1"/>
  <c r="V145" i="1"/>
  <c r="S145" i="1" s="1"/>
  <c r="Q145" i="1"/>
  <c r="I145" i="1"/>
  <c r="F145" i="1"/>
  <c r="E145" i="1"/>
  <c r="D145" i="1"/>
  <c r="B145" i="1"/>
  <c r="U144" i="1"/>
  <c r="Q144" i="1"/>
  <c r="I144" i="1"/>
  <c r="F144" i="1"/>
  <c r="E144" i="1"/>
  <c r="D144" i="1"/>
  <c r="B144" i="1"/>
  <c r="V143" i="1"/>
  <c r="S143" i="1" s="1"/>
  <c r="Q143" i="1"/>
  <c r="I143" i="1"/>
  <c r="F143" i="1"/>
  <c r="E143" i="1"/>
  <c r="D143" i="1"/>
  <c r="B143" i="1"/>
  <c r="U142" i="1"/>
  <c r="Q142" i="1"/>
  <c r="I142" i="1"/>
  <c r="F142" i="1"/>
  <c r="E142" i="1"/>
  <c r="D142" i="1"/>
  <c r="B142" i="1"/>
  <c r="L141" i="1"/>
  <c r="M141" i="1" s="1"/>
  <c r="V140" i="1"/>
  <c r="S140" i="1" s="1"/>
  <c r="U140" i="1"/>
  <c r="Q140" i="1"/>
  <c r="I140" i="1"/>
  <c r="F140" i="1"/>
  <c r="E140" i="1"/>
  <c r="D140" i="1"/>
  <c r="B140" i="1"/>
  <c r="V139" i="1"/>
  <c r="S139" i="1" s="1"/>
  <c r="Q139" i="1"/>
  <c r="I139" i="1"/>
  <c r="F139" i="1"/>
  <c r="E139" i="1"/>
  <c r="D139" i="1"/>
  <c r="B139" i="1"/>
  <c r="U138" i="1"/>
  <c r="Q138" i="1"/>
  <c r="I138" i="1"/>
  <c r="F138" i="1"/>
  <c r="E138" i="1"/>
  <c r="D138" i="1"/>
  <c r="B138" i="1"/>
  <c r="T137" i="1"/>
  <c r="Q137" i="1"/>
  <c r="L137" i="1"/>
  <c r="M137" i="1" s="1"/>
  <c r="V136" i="1"/>
  <c r="S136" i="1" s="1"/>
  <c r="Q136" i="1"/>
  <c r="I136" i="1"/>
  <c r="F136" i="1"/>
  <c r="E136" i="1"/>
  <c r="D136" i="1"/>
  <c r="B136" i="1"/>
  <c r="U135" i="1"/>
  <c r="Q135" i="1"/>
  <c r="I135" i="1"/>
  <c r="F135" i="1"/>
  <c r="E135" i="1"/>
  <c r="D135" i="1"/>
  <c r="B135" i="1"/>
  <c r="L134" i="1"/>
  <c r="M134" i="1" s="1"/>
  <c r="U133" i="1"/>
  <c r="Q133" i="1"/>
  <c r="I133" i="1"/>
  <c r="F133" i="1"/>
  <c r="E133" i="1"/>
  <c r="D133" i="1"/>
  <c r="B133" i="1"/>
  <c r="V132" i="1"/>
  <c r="S132" i="1" s="1"/>
  <c r="U132" i="1"/>
  <c r="Q132" i="1"/>
  <c r="I132" i="1"/>
  <c r="F132" i="1"/>
  <c r="E132" i="1"/>
  <c r="D132" i="1"/>
  <c r="B132" i="1"/>
  <c r="V131" i="1"/>
  <c r="S131" i="1" s="1"/>
  <c r="Q131" i="1"/>
  <c r="I131" i="1"/>
  <c r="F131" i="1"/>
  <c r="E131" i="1"/>
  <c r="D131" i="1"/>
  <c r="B131" i="1"/>
  <c r="L130" i="1"/>
  <c r="M130" i="1" s="1"/>
  <c r="U129" i="1"/>
  <c r="Q129" i="1"/>
  <c r="I129" i="1"/>
  <c r="F129" i="1"/>
  <c r="E129" i="1"/>
  <c r="D129" i="1"/>
  <c r="B129" i="1"/>
  <c r="V128" i="1"/>
  <c r="S128" i="1" s="1"/>
  <c r="U128" i="1"/>
  <c r="Q128" i="1"/>
  <c r="I128" i="1"/>
  <c r="F128" i="1"/>
  <c r="E128" i="1"/>
  <c r="D128" i="1"/>
  <c r="B128" i="1"/>
  <c r="V127" i="1"/>
  <c r="S127" i="1" s="1"/>
  <c r="U127" i="1"/>
  <c r="Q127" i="1"/>
  <c r="I127" i="1"/>
  <c r="F127" i="1"/>
  <c r="E127" i="1"/>
  <c r="D127" i="1"/>
  <c r="B127" i="1"/>
  <c r="V126" i="1"/>
  <c r="S126" i="1" s="1"/>
  <c r="Q126" i="1"/>
  <c r="I126" i="1"/>
  <c r="F126" i="1"/>
  <c r="E126" i="1"/>
  <c r="D126" i="1"/>
  <c r="B126" i="1"/>
  <c r="U125" i="1"/>
  <c r="Q125" i="1"/>
  <c r="I125" i="1"/>
  <c r="F125" i="1"/>
  <c r="E125" i="1"/>
  <c r="D125" i="1"/>
  <c r="B125" i="1"/>
  <c r="V124" i="1"/>
  <c r="S124" i="1" s="1"/>
  <c r="U124" i="1"/>
  <c r="Q124" i="1"/>
  <c r="I124" i="1"/>
  <c r="F124" i="1"/>
  <c r="E124" i="1"/>
  <c r="D124" i="1"/>
  <c r="B124" i="1"/>
  <c r="V123" i="1"/>
  <c r="S123" i="1" s="1"/>
  <c r="U123" i="1"/>
  <c r="Q123" i="1"/>
  <c r="I123" i="1"/>
  <c r="F123" i="1"/>
  <c r="E123" i="1"/>
  <c r="D123" i="1"/>
  <c r="B123" i="1"/>
  <c r="V120" i="1"/>
  <c r="S120" i="1" s="1"/>
  <c r="S121" i="1" s="1"/>
  <c r="Q120" i="1"/>
  <c r="Q121" i="1" s="1"/>
  <c r="I120" i="1"/>
  <c r="G120" i="1"/>
  <c r="D120" i="1"/>
  <c r="B120" i="1"/>
  <c r="V118" i="1"/>
  <c r="S118" i="1" s="1"/>
  <c r="Q118" i="1"/>
  <c r="I118" i="1"/>
  <c r="F118" i="1"/>
  <c r="E118" i="1"/>
  <c r="D118" i="1"/>
  <c r="B118" i="1"/>
  <c r="U117" i="1"/>
  <c r="Q117" i="1"/>
  <c r="I117" i="1"/>
  <c r="J117" i="1" s="1"/>
  <c r="F117" i="1"/>
  <c r="E117" i="1"/>
  <c r="D117" i="1"/>
  <c r="B117" i="1"/>
  <c r="V116" i="1"/>
  <c r="S116" i="1" s="1"/>
  <c r="U116" i="1"/>
  <c r="Q116" i="1"/>
  <c r="I116" i="1"/>
  <c r="F116" i="1"/>
  <c r="E116" i="1"/>
  <c r="D116" i="1"/>
  <c r="B116" i="1"/>
  <c r="V115" i="1"/>
  <c r="S115" i="1" s="1"/>
  <c r="U115" i="1"/>
  <c r="Q115" i="1"/>
  <c r="I115" i="1"/>
  <c r="F115" i="1"/>
  <c r="G115" i="1" s="1"/>
  <c r="E115" i="1"/>
  <c r="D115" i="1"/>
  <c r="B115" i="1"/>
  <c r="I113" i="1"/>
  <c r="F113" i="1"/>
  <c r="E113" i="1"/>
  <c r="D113" i="1"/>
  <c r="B113" i="1"/>
  <c r="V112" i="1"/>
  <c r="S112" i="1" s="1"/>
  <c r="U112" i="1"/>
  <c r="Q112" i="1"/>
  <c r="I112" i="1"/>
  <c r="F112" i="1"/>
  <c r="E112" i="1"/>
  <c r="D112" i="1"/>
  <c r="B112" i="1"/>
  <c r="V111" i="1"/>
  <c r="S111" i="1" s="1"/>
  <c r="U111" i="1"/>
  <c r="Q111" i="1"/>
  <c r="I111" i="1"/>
  <c r="F111" i="1"/>
  <c r="E111" i="1"/>
  <c r="D111" i="1"/>
  <c r="B111" i="1"/>
  <c r="V110" i="1"/>
  <c r="S110" i="1" s="1"/>
  <c r="Q110" i="1"/>
  <c r="I110" i="1"/>
  <c r="F110" i="1"/>
  <c r="E110" i="1"/>
  <c r="D110" i="1"/>
  <c r="B110" i="1"/>
  <c r="I109" i="1"/>
  <c r="F109" i="1"/>
  <c r="E109" i="1"/>
  <c r="D109" i="1"/>
  <c r="B109" i="1"/>
  <c r="I108" i="1"/>
  <c r="F108" i="1"/>
  <c r="E108" i="1"/>
  <c r="D108" i="1"/>
  <c r="B108" i="1"/>
  <c r="U107" i="1"/>
  <c r="Q107" i="1"/>
  <c r="I107" i="1"/>
  <c r="F107" i="1"/>
  <c r="E107" i="1"/>
  <c r="D107" i="1"/>
  <c r="B107" i="1"/>
  <c r="V105" i="1"/>
  <c r="S105" i="1" s="1"/>
  <c r="U105" i="1"/>
  <c r="Q105" i="1"/>
  <c r="I105" i="1"/>
  <c r="F105" i="1"/>
  <c r="E105" i="1"/>
  <c r="D105" i="1"/>
  <c r="B105" i="1"/>
  <c r="I104" i="1"/>
  <c r="F104" i="1"/>
  <c r="E104" i="1"/>
  <c r="D104" i="1"/>
  <c r="B104" i="1"/>
  <c r="V103" i="1"/>
  <c r="U103" i="1"/>
  <c r="Q103" i="1"/>
  <c r="I103" i="1"/>
  <c r="F103" i="1"/>
  <c r="E103" i="1"/>
  <c r="D103" i="1"/>
  <c r="B103" i="1"/>
  <c r="I102" i="1"/>
  <c r="F102" i="1"/>
  <c r="E102" i="1"/>
  <c r="D102" i="1"/>
  <c r="B102" i="1"/>
  <c r="V101" i="1"/>
  <c r="S101" i="1" s="1"/>
  <c r="U101" i="1"/>
  <c r="Q101" i="1"/>
  <c r="I101" i="1"/>
  <c r="F101" i="1"/>
  <c r="E101" i="1"/>
  <c r="D101" i="1"/>
  <c r="B101" i="1"/>
  <c r="I100" i="1"/>
  <c r="F100" i="1"/>
  <c r="E100" i="1"/>
  <c r="D100" i="1"/>
  <c r="B100" i="1"/>
  <c r="Q99" i="1"/>
  <c r="P99" i="1"/>
  <c r="I99" i="1"/>
  <c r="F99" i="1"/>
  <c r="E99" i="1"/>
  <c r="D99" i="1"/>
  <c r="B99" i="1"/>
  <c r="I98" i="1"/>
  <c r="F98" i="1"/>
  <c r="E98" i="1"/>
  <c r="D98" i="1"/>
  <c r="B98" i="1"/>
  <c r="Q97" i="1"/>
  <c r="P97" i="1"/>
  <c r="I97" i="1"/>
  <c r="F97" i="1"/>
  <c r="E97" i="1"/>
  <c r="D97" i="1"/>
  <c r="B97" i="1"/>
  <c r="I96" i="1"/>
  <c r="F96" i="1"/>
  <c r="E96" i="1"/>
  <c r="D96" i="1"/>
  <c r="B96" i="1"/>
  <c r="U95" i="1"/>
  <c r="Q95" i="1"/>
  <c r="I95" i="1"/>
  <c r="F95" i="1"/>
  <c r="E95" i="1"/>
  <c r="D95" i="1"/>
  <c r="B95" i="1"/>
  <c r="Q94" i="1"/>
  <c r="P94" i="1"/>
  <c r="I94" i="1"/>
  <c r="F94" i="1"/>
  <c r="E94" i="1"/>
  <c r="D94" i="1"/>
  <c r="B94" i="1"/>
  <c r="Q93" i="1"/>
  <c r="P93" i="1"/>
  <c r="I93" i="1"/>
  <c r="F93" i="1"/>
  <c r="E93" i="1"/>
  <c r="D93" i="1"/>
  <c r="B93" i="1"/>
  <c r="V92" i="1"/>
  <c r="S92" i="1" s="1"/>
  <c r="U92" i="1"/>
  <c r="Q92" i="1"/>
  <c r="I92" i="1"/>
  <c r="F92" i="1"/>
  <c r="E92" i="1"/>
  <c r="D92" i="1"/>
  <c r="B92" i="1"/>
  <c r="I90" i="1"/>
  <c r="F90" i="1"/>
  <c r="E90" i="1"/>
  <c r="D90" i="1"/>
  <c r="B90" i="1"/>
  <c r="I89" i="1"/>
  <c r="F89" i="1"/>
  <c r="E89" i="1"/>
  <c r="D89" i="1"/>
  <c r="B89" i="1"/>
  <c r="I88" i="1"/>
  <c r="F88" i="1"/>
  <c r="E88" i="1"/>
  <c r="D88" i="1"/>
  <c r="B88" i="1"/>
  <c r="V87" i="1"/>
  <c r="S87" i="1" s="1"/>
  <c r="Q87" i="1"/>
  <c r="I87" i="1"/>
  <c r="F87" i="1"/>
  <c r="E87" i="1"/>
  <c r="D87" i="1"/>
  <c r="B87" i="1"/>
  <c r="I86" i="1"/>
  <c r="F86" i="1"/>
  <c r="E86" i="1"/>
  <c r="D86" i="1"/>
  <c r="B86" i="1"/>
  <c r="V85" i="1"/>
  <c r="S85" i="1" s="1"/>
  <c r="U85" i="1"/>
  <c r="Q85" i="1"/>
  <c r="I85" i="1"/>
  <c r="F85" i="1"/>
  <c r="E85" i="1"/>
  <c r="D85" i="1"/>
  <c r="B85" i="1"/>
  <c r="I84" i="1"/>
  <c r="F84" i="1"/>
  <c r="E84" i="1"/>
  <c r="D84" i="1"/>
  <c r="B84" i="1"/>
  <c r="I83" i="1"/>
  <c r="F83" i="1"/>
  <c r="E83" i="1"/>
  <c r="D83" i="1"/>
  <c r="B83" i="1"/>
  <c r="I82" i="1"/>
  <c r="F82" i="1"/>
  <c r="E82" i="1"/>
  <c r="D82" i="1"/>
  <c r="B82" i="1"/>
  <c r="I81" i="1"/>
  <c r="J81" i="1" s="1"/>
  <c r="K81" i="1" s="1"/>
  <c r="F81" i="1"/>
  <c r="E81" i="1"/>
  <c r="D81" i="1"/>
  <c r="B81" i="1"/>
  <c r="U80" i="1"/>
  <c r="Q80" i="1"/>
  <c r="I80" i="1"/>
  <c r="F80" i="1"/>
  <c r="E80" i="1"/>
  <c r="D80" i="1"/>
  <c r="B80" i="1"/>
  <c r="V79" i="1"/>
  <c r="S79" i="1" s="1"/>
  <c r="U79" i="1"/>
  <c r="Q79" i="1"/>
  <c r="I79" i="1"/>
  <c r="F79" i="1"/>
  <c r="E79" i="1"/>
  <c r="D79" i="1"/>
  <c r="B79" i="1"/>
  <c r="V78" i="1"/>
  <c r="S78" i="1" s="1"/>
  <c r="U78" i="1"/>
  <c r="Q78" i="1"/>
  <c r="I78" i="1"/>
  <c r="F78" i="1"/>
  <c r="E78" i="1"/>
  <c r="D78" i="1"/>
  <c r="B78" i="1"/>
  <c r="V77" i="1"/>
  <c r="S77" i="1" s="1"/>
  <c r="Q77" i="1"/>
  <c r="I77" i="1"/>
  <c r="F77" i="1"/>
  <c r="E77" i="1"/>
  <c r="D77" i="1"/>
  <c r="B77" i="1"/>
  <c r="I76" i="1"/>
  <c r="F76" i="1"/>
  <c r="E76" i="1"/>
  <c r="D76" i="1"/>
  <c r="B76" i="1"/>
  <c r="I75" i="1"/>
  <c r="F75" i="1"/>
  <c r="E75" i="1"/>
  <c r="D75" i="1"/>
  <c r="B75" i="1"/>
  <c r="U74" i="1"/>
  <c r="Q74" i="1"/>
  <c r="I74" i="1"/>
  <c r="F74" i="1"/>
  <c r="E74" i="1"/>
  <c r="D74" i="1"/>
  <c r="B74" i="1"/>
  <c r="Q73" i="1"/>
  <c r="P73" i="1"/>
  <c r="I73" i="1"/>
  <c r="F73" i="1"/>
  <c r="E73" i="1"/>
  <c r="D73" i="1"/>
  <c r="B73" i="1"/>
  <c r="K72" i="1"/>
  <c r="I72" i="1"/>
  <c r="F72" i="1"/>
  <c r="E72" i="1"/>
  <c r="D72" i="1"/>
  <c r="B72" i="1"/>
  <c r="I71" i="1"/>
  <c r="F71" i="1"/>
  <c r="E71" i="1"/>
  <c r="D71" i="1"/>
  <c r="B71" i="1"/>
  <c r="V70" i="1"/>
  <c r="S70" i="1" s="1"/>
  <c r="U70" i="1"/>
  <c r="Q70" i="1"/>
  <c r="I70" i="1"/>
  <c r="F70" i="1"/>
  <c r="G70" i="1" s="1"/>
  <c r="E70" i="1"/>
  <c r="D70" i="1"/>
  <c r="B70" i="1"/>
  <c r="V68" i="1"/>
  <c r="U68" i="1"/>
  <c r="Q68" i="1"/>
  <c r="I68" i="1"/>
  <c r="F68" i="1"/>
  <c r="E68" i="1"/>
  <c r="D68" i="1"/>
  <c r="B68" i="1"/>
  <c r="V67" i="1"/>
  <c r="S67" i="1" s="1"/>
  <c r="Q67" i="1"/>
  <c r="I67" i="1"/>
  <c r="F67" i="1"/>
  <c r="E67" i="1"/>
  <c r="D67" i="1"/>
  <c r="B67" i="1"/>
  <c r="U66" i="1"/>
  <c r="Q66" i="1"/>
  <c r="I66" i="1"/>
  <c r="F66" i="1"/>
  <c r="E66" i="1"/>
  <c r="D66" i="1"/>
  <c r="B66" i="1"/>
  <c r="V65" i="1"/>
  <c r="S65" i="1" s="1"/>
  <c r="U65" i="1"/>
  <c r="Q65" i="1"/>
  <c r="I65" i="1"/>
  <c r="F65" i="1"/>
  <c r="E65" i="1"/>
  <c r="D65" i="1"/>
  <c r="B65" i="1"/>
  <c r="V62" i="1"/>
  <c r="S62" i="1" s="1"/>
  <c r="U62" i="1"/>
  <c r="Q62" i="1"/>
  <c r="I62" i="1"/>
  <c r="G62" i="1"/>
  <c r="F62" i="1"/>
  <c r="E62" i="1"/>
  <c r="D62" i="1"/>
  <c r="B62" i="1"/>
  <c r="U61" i="1"/>
  <c r="Q61" i="1"/>
  <c r="I61" i="1"/>
  <c r="G61" i="1"/>
  <c r="F61" i="1"/>
  <c r="E61" i="1"/>
  <c r="D61" i="1"/>
  <c r="B61" i="1"/>
  <c r="V60" i="1"/>
  <c r="S60" i="1" s="1"/>
  <c r="U60" i="1"/>
  <c r="Q60" i="1"/>
  <c r="I60" i="1"/>
  <c r="F60" i="1"/>
  <c r="G60" i="1" s="1"/>
  <c r="E60" i="1"/>
  <c r="D60" i="1"/>
  <c r="B60" i="1"/>
  <c r="V58" i="1"/>
  <c r="Q58" i="1"/>
  <c r="Q59" i="1" s="1"/>
  <c r="I58" i="1"/>
  <c r="F58" i="1"/>
  <c r="E58" i="1"/>
  <c r="D58" i="1"/>
  <c r="B58" i="1"/>
  <c r="T57" i="1"/>
  <c r="S57" i="1"/>
  <c r="Q57" i="1"/>
  <c r="V56" i="1"/>
  <c r="Q56" i="1"/>
  <c r="I56" i="1"/>
  <c r="F56" i="1"/>
  <c r="E56" i="1"/>
  <c r="D56" i="1"/>
  <c r="B56" i="1"/>
  <c r="U55" i="1"/>
  <c r="Q55" i="1"/>
  <c r="F55" i="1"/>
  <c r="G55" i="1" s="1"/>
  <c r="E55" i="1"/>
  <c r="I55" i="1" s="1"/>
  <c r="D55" i="1"/>
  <c r="B55" i="1"/>
  <c r="U53" i="1"/>
  <c r="Q53" i="1"/>
  <c r="I53" i="1"/>
  <c r="G53" i="1"/>
  <c r="F53" i="1"/>
  <c r="E53" i="1"/>
  <c r="D53" i="1"/>
  <c r="B53" i="1"/>
  <c r="V52" i="1"/>
  <c r="S52" i="1" s="1"/>
  <c r="U52" i="1"/>
  <c r="Q52" i="1"/>
  <c r="I52" i="1"/>
  <c r="F52" i="1"/>
  <c r="G52" i="1" s="1"/>
  <c r="E52" i="1"/>
  <c r="D52" i="1"/>
  <c r="B52" i="1"/>
  <c r="Q51" i="1"/>
  <c r="P51" i="1"/>
  <c r="I51" i="1"/>
  <c r="F51" i="1"/>
  <c r="E51" i="1"/>
  <c r="D51" i="1"/>
  <c r="B51" i="1"/>
  <c r="V50" i="1"/>
  <c r="S50" i="1" s="1"/>
  <c r="Q50" i="1"/>
  <c r="I50" i="1"/>
  <c r="J50" i="1" s="1"/>
  <c r="K50" i="1" s="1"/>
  <c r="F50" i="1"/>
  <c r="E50" i="1"/>
  <c r="D50" i="1"/>
  <c r="B50" i="1"/>
  <c r="V49" i="1"/>
  <c r="Q49" i="1"/>
  <c r="I49" i="1"/>
  <c r="F49" i="1"/>
  <c r="G49" i="1" s="1"/>
  <c r="E49" i="1"/>
  <c r="D49" i="1"/>
  <c r="B49" i="1"/>
  <c r="V48" i="1"/>
  <c r="S48" i="1" s="1"/>
  <c r="U48" i="1"/>
  <c r="Q48" i="1"/>
  <c r="I48" i="1"/>
  <c r="G48" i="1"/>
  <c r="F48" i="1"/>
  <c r="E48" i="1"/>
  <c r="D48" i="1"/>
  <c r="B48" i="1"/>
  <c r="Q47" i="1"/>
  <c r="P47" i="1"/>
  <c r="I47" i="1"/>
  <c r="G47" i="1"/>
  <c r="F47" i="1"/>
  <c r="E47" i="1"/>
  <c r="D47" i="1"/>
  <c r="B47" i="1"/>
  <c r="U46" i="1"/>
  <c r="Q46" i="1"/>
  <c r="I46" i="1"/>
  <c r="G46" i="1"/>
  <c r="F46" i="1"/>
  <c r="E46" i="1"/>
  <c r="D46" i="1"/>
  <c r="B46" i="1"/>
  <c r="Q45" i="1"/>
  <c r="P45" i="1"/>
  <c r="I45" i="1"/>
  <c r="F45" i="1"/>
  <c r="E45" i="1"/>
  <c r="D45" i="1"/>
  <c r="B45" i="1"/>
  <c r="V44" i="1"/>
  <c r="S44" i="1" s="1"/>
  <c r="U44" i="1"/>
  <c r="Q44" i="1"/>
  <c r="I44" i="1"/>
  <c r="F44" i="1"/>
  <c r="E44" i="1"/>
  <c r="D44" i="1"/>
  <c r="B44" i="1"/>
  <c r="V43" i="1"/>
  <c r="S43" i="1" s="1"/>
  <c r="Q43" i="1"/>
  <c r="I43" i="1"/>
  <c r="F43" i="1"/>
  <c r="G43" i="1" s="1"/>
  <c r="E43" i="1"/>
  <c r="D43" i="1"/>
  <c r="B43" i="1"/>
  <c r="U42" i="1"/>
  <c r="Q42" i="1"/>
  <c r="I42" i="1"/>
  <c r="F42" i="1"/>
  <c r="E42" i="1"/>
  <c r="D42" i="1"/>
  <c r="B42" i="1"/>
  <c r="V41" i="1"/>
  <c r="U41" i="1"/>
  <c r="Q41" i="1"/>
  <c r="I41" i="1"/>
  <c r="F41" i="1"/>
  <c r="E41" i="1"/>
  <c r="D41" i="1"/>
  <c r="B41" i="1"/>
  <c r="V39" i="1"/>
  <c r="U39" i="1"/>
  <c r="Q39" i="1"/>
  <c r="I39" i="1"/>
  <c r="F39" i="1"/>
  <c r="E39" i="1"/>
  <c r="D39" i="1"/>
  <c r="B39" i="1"/>
  <c r="V38" i="1"/>
  <c r="Q38" i="1"/>
  <c r="I38" i="1"/>
  <c r="F38" i="1"/>
  <c r="E38" i="1"/>
  <c r="D38" i="1"/>
  <c r="B38" i="1"/>
  <c r="U37" i="1"/>
  <c r="Q37" i="1"/>
  <c r="I37" i="1"/>
  <c r="F37" i="1"/>
  <c r="E37" i="1"/>
  <c r="D37" i="1"/>
  <c r="B37" i="1"/>
  <c r="V36" i="1"/>
  <c r="U36" i="1"/>
  <c r="Q36" i="1"/>
  <c r="I36" i="1"/>
  <c r="F36" i="1"/>
  <c r="E36" i="1"/>
  <c r="D36" i="1"/>
  <c r="B36" i="1"/>
  <c r="V35" i="1"/>
  <c r="U35" i="1"/>
  <c r="Q35" i="1"/>
  <c r="I35" i="1"/>
  <c r="F35" i="1"/>
  <c r="E35" i="1"/>
  <c r="D35" i="1"/>
  <c r="B35" i="1"/>
  <c r="V34" i="1"/>
  <c r="Q34" i="1"/>
  <c r="I34" i="1"/>
  <c r="F34" i="1"/>
  <c r="E34" i="1"/>
  <c r="D34" i="1"/>
  <c r="B34" i="1"/>
  <c r="U33" i="1"/>
  <c r="Q33" i="1"/>
  <c r="I33" i="1"/>
  <c r="F33" i="1"/>
  <c r="E33" i="1"/>
  <c r="D33" i="1"/>
  <c r="B33" i="1"/>
  <c r="V31" i="1"/>
  <c r="S31" i="1" s="1"/>
  <c r="U31" i="1"/>
  <c r="Q31" i="1"/>
  <c r="I31" i="1"/>
  <c r="F31" i="1"/>
  <c r="G31" i="1" s="1"/>
  <c r="E31" i="1"/>
  <c r="D31" i="1"/>
  <c r="B31" i="1"/>
  <c r="I30" i="1"/>
  <c r="F30" i="1"/>
  <c r="E30" i="1"/>
  <c r="D30" i="1"/>
  <c r="B30" i="1"/>
  <c r="U29" i="1"/>
  <c r="Q29" i="1"/>
  <c r="I29" i="1"/>
  <c r="F29" i="1"/>
  <c r="E29" i="1"/>
  <c r="D29" i="1"/>
  <c r="B29" i="1"/>
  <c r="V26" i="1"/>
  <c r="S26" i="1" s="1"/>
  <c r="U26" i="1"/>
  <c r="Q26" i="1"/>
  <c r="I26" i="1"/>
  <c r="F26" i="1"/>
  <c r="E26" i="1"/>
  <c r="D26" i="1"/>
  <c r="B26" i="1"/>
  <c r="V25" i="1"/>
  <c r="U25" i="1"/>
  <c r="Q25" i="1"/>
  <c r="I25" i="1"/>
  <c r="J25" i="1"/>
  <c r="F25" i="1"/>
  <c r="E25" i="1"/>
  <c r="D25" i="1"/>
  <c r="B25" i="1"/>
  <c r="V24" i="1"/>
  <c r="Q24" i="1"/>
  <c r="I24" i="1"/>
  <c r="F24" i="1"/>
  <c r="E24" i="1"/>
  <c r="D24" i="1"/>
  <c r="B24" i="1"/>
  <c r="U22" i="1"/>
  <c r="Q22" i="1"/>
  <c r="Q23" i="1" s="1"/>
  <c r="I22" i="1"/>
  <c r="F22" i="1"/>
  <c r="E22" i="1"/>
  <c r="D22" i="1"/>
  <c r="B22" i="1"/>
  <c r="V20" i="1"/>
  <c r="S20" i="1" s="1"/>
  <c r="U20" i="1"/>
  <c r="Q20" i="1"/>
  <c r="I20" i="1"/>
  <c r="F20" i="1"/>
  <c r="E20" i="1"/>
  <c r="D20" i="1"/>
  <c r="B20" i="1"/>
  <c r="V19" i="1"/>
  <c r="S19" i="1" s="1"/>
  <c r="U19" i="1"/>
  <c r="Q19" i="1"/>
  <c r="I19" i="1"/>
  <c r="F19" i="1"/>
  <c r="E19" i="1"/>
  <c r="D19" i="1"/>
  <c r="B19" i="1"/>
  <c r="V18" i="1"/>
  <c r="S18" i="1" s="1"/>
  <c r="Q18" i="1"/>
  <c r="I18" i="1"/>
  <c r="F18" i="1"/>
  <c r="E18" i="1"/>
  <c r="D18" i="1"/>
  <c r="B18" i="1"/>
  <c r="U16" i="1"/>
  <c r="Q16" i="1"/>
  <c r="I16" i="1"/>
  <c r="F16" i="1"/>
  <c r="E16" i="1"/>
  <c r="D16" i="1"/>
  <c r="B16" i="1"/>
  <c r="V15" i="1"/>
  <c r="S15" i="1" s="1"/>
  <c r="U15" i="1"/>
  <c r="Q15" i="1"/>
  <c r="I15" i="1"/>
  <c r="F15" i="1"/>
  <c r="E15" i="1"/>
  <c r="D15" i="1"/>
  <c r="B15" i="1"/>
  <c r="V14" i="1"/>
  <c r="S14" i="1" s="1"/>
  <c r="U14" i="1"/>
  <c r="Q14" i="1"/>
  <c r="I14" i="1"/>
  <c r="F14" i="1"/>
  <c r="E14" i="1"/>
  <c r="D14" i="1"/>
  <c r="B14" i="1"/>
  <c r="V13" i="1"/>
  <c r="Q13" i="1"/>
  <c r="I13" i="1"/>
  <c r="F13" i="1"/>
  <c r="E13" i="1"/>
  <c r="D13" i="1"/>
  <c r="B13" i="1"/>
  <c r="U12" i="1"/>
  <c r="Q12" i="1"/>
  <c r="I12" i="1"/>
  <c r="F12" i="1"/>
  <c r="E12" i="1"/>
  <c r="D12" i="1"/>
  <c r="B12" i="1"/>
  <c r="V10" i="1"/>
  <c r="S10" i="1" s="1"/>
  <c r="U10" i="1"/>
  <c r="Q10" i="1"/>
  <c r="I10" i="1"/>
  <c r="F10" i="1"/>
  <c r="E10" i="1"/>
  <c r="D10" i="1"/>
  <c r="B10" i="1"/>
  <c r="V9" i="1"/>
  <c r="S9" i="1" s="1"/>
  <c r="U9" i="1"/>
  <c r="Q9" i="1"/>
  <c r="I9" i="1"/>
  <c r="F9" i="1"/>
  <c r="E9" i="1"/>
  <c r="D9" i="1"/>
  <c r="B9" i="1"/>
  <c r="V8" i="1"/>
  <c r="S8" i="1" s="1"/>
  <c r="Q8" i="1"/>
  <c r="I8" i="1"/>
  <c r="F8" i="1"/>
  <c r="E8" i="1"/>
  <c r="D8" i="1"/>
  <c r="B8" i="1"/>
  <c r="U7" i="1"/>
  <c r="Q7" i="1"/>
  <c r="I7" i="1"/>
  <c r="F7" i="1"/>
  <c r="E7" i="1"/>
  <c r="D7" i="1"/>
  <c r="B7" i="1"/>
  <c r="V5" i="1"/>
  <c r="S5" i="1" s="1"/>
  <c r="U5" i="1"/>
  <c r="Q5" i="1"/>
  <c r="I5" i="1"/>
  <c r="F5" i="1"/>
  <c r="E5" i="1"/>
  <c r="D5" i="1"/>
  <c r="B5" i="1"/>
  <c r="V4" i="1"/>
  <c r="S4" i="1" s="1"/>
  <c r="U4" i="1"/>
  <c r="Q4" i="1"/>
  <c r="I4" i="1"/>
  <c r="F4" i="1"/>
  <c r="E4" i="1"/>
  <c r="D4" i="1"/>
  <c r="B4" i="1"/>
  <c r="G103" i="1" l="1"/>
  <c r="G86" i="1"/>
  <c r="G4" i="1"/>
  <c r="G25" i="1"/>
  <c r="G41" i="1"/>
  <c r="V174" i="1"/>
  <c r="S174" i="1" s="1"/>
  <c r="V179" i="1"/>
  <c r="U181" i="1"/>
  <c r="U176" i="1"/>
  <c r="L97" i="1"/>
  <c r="M97" i="1" s="1"/>
  <c r="J125" i="1"/>
  <c r="K125" i="1" s="1"/>
  <c r="G96" i="1"/>
  <c r="U131" i="1"/>
  <c r="T131" i="1" s="1"/>
  <c r="P131" i="1" s="1"/>
  <c r="V135" i="1"/>
  <c r="S135" i="1" s="1"/>
  <c r="U136" i="1"/>
  <c r="S137" i="1"/>
  <c r="P137" i="1" s="1"/>
  <c r="R137" i="1" s="1"/>
  <c r="V144" i="1"/>
  <c r="S144" i="1" s="1"/>
  <c r="U145" i="1"/>
  <c r="V150" i="1"/>
  <c r="S150" i="1" s="1"/>
  <c r="U151" i="1"/>
  <c r="V152" i="1"/>
  <c r="S152" i="1" s="1"/>
  <c r="V160" i="1"/>
  <c r="S160" i="1" s="1"/>
  <c r="U161" i="1"/>
  <c r="V162" i="1"/>
  <c r="S162" i="1" s="1"/>
  <c r="U163" i="1"/>
  <c r="T163" i="1" s="1"/>
  <c r="V167" i="1"/>
  <c r="S167" i="1" s="1"/>
  <c r="U168" i="1"/>
  <c r="V175" i="1"/>
  <c r="S175" i="1" s="1"/>
  <c r="R51" i="1"/>
  <c r="V168" i="1"/>
  <c r="S168" i="1" s="1"/>
  <c r="U169" i="1"/>
  <c r="V170" i="1"/>
  <c r="S170" i="1" s="1"/>
  <c r="U171" i="1"/>
  <c r="T171" i="1" s="1"/>
  <c r="P171" i="1" s="1"/>
  <c r="L171" i="1" s="1"/>
  <c r="M171" i="1" s="1"/>
  <c r="V176" i="1"/>
  <c r="S176" i="1" s="1"/>
  <c r="U177" i="1"/>
  <c r="V178" i="1"/>
  <c r="S178" i="1" s="1"/>
  <c r="V182" i="1"/>
  <c r="S182" i="1" s="1"/>
  <c r="J22" i="1"/>
  <c r="J23" i="1" s="1"/>
  <c r="K23" i="1" s="1"/>
  <c r="G68" i="1"/>
  <c r="G131" i="1"/>
  <c r="J135" i="1"/>
  <c r="K135" i="1" s="1"/>
  <c r="J159" i="1"/>
  <c r="K159" i="1" s="1"/>
  <c r="J104" i="1"/>
  <c r="K104" i="1" s="1"/>
  <c r="J131" i="1"/>
  <c r="K131" i="1" s="1"/>
  <c r="J39" i="1"/>
  <c r="K39" i="1" s="1"/>
  <c r="J105" i="1"/>
  <c r="J132" i="1"/>
  <c r="K132" i="1" s="1"/>
  <c r="G82" i="1"/>
  <c r="J148" i="1"/>
  <c r="K148" i="1" s="1"/>
  <c r="G168" i="1"/>
  <c r="G66" i="1"/>
  <c r="G26" i="1"/>
  <c r="J38" i="1"/>
  <c r="K38" i="1" s="1"/>
  <c r="G65" i="1"/>
  <c r="J83" i="1"/>
  <c r="K83" i="1" s="1"/>
  <c r="J110" i="1"/>
  <c r="K110" i="1" s="1"/>
  <c r="G176" i="1"/>
  <c r="J77" i="1"/>
  <c r="K77" i="1" s="1"/>
  <c r="J96" i="1"/>
  <c r="K96" i="1" s="1"/>
  <c r="G97" i="1"/>
  <c r="G98" i="1"/>
  <c r="J120" i="1"/>
  <c r="K120" i="1" s="1"/>
  <c r="J160" i="1"/>
  <c r="K160" i="1" s="1"/>
  <c r="J182" i="1"/>
  <c r="K182" i="1" s="1"/>
  <c r="J51" i="1"/>
  <c r="K51" i="1" s="1"/>
  <c r="Q180" i="1"/>
  <c r="G84" i="1"/>
  <c r="J85" i="1"/>
  <c r="K85" i="1" s="1"/>
  <c r="J88" i="1"/>
  <c r="K88" i="1" s="1"/>
  <c r="G94" i="1"/>
  <c r="J123" i="1"/>
  <c r="J127" i="1"/>
  <c r="K127" i="1" s="1"/>
  <c r="G151" i="1"/>
  <c r="G158" i="1"/>
  <c r="G169" i="1"/>
  <c r="V7" i="1"/>
  <c r="S7" i="1" s="1"/>
  <c r="S11" i="1" s="1"/>
  <c r="U8" i="1"/>
  <c r="T8" i="1" s="1"/>
  <c r="P8" i="1" s="1"/>
  <c r="L8" i="1" s="1"/>
  <c r="V12" i="1"/>
  <c r="T12" i="1" s="1"/>
  <c r="U13" i="1"/>
  <c r="T13" i="1" s="1"/>
  <c r="V16" i="1"/>
  <c r="S16" i="1" s="1"/>
  <c r="U18" i="1"/>
  <c r="T18" i="1" s="1"/>
  <c r="V22" i="1"/>
  <c r="S22" i="1" s="1"/>
  <c r="S23" i="1" s="1"/>
  <c r="U24" i="1"/>
  <c r="T24" i="1" s="1"/>
  <c r="V29" i="1"/>
  <c r="T29" i="1" s="1"/>
  <c r="G30" i="1"/>
  <c r="J31" i="1"/>
  <c r="K31" i="1" s="1"/>
  <c r="V33" i="1"/>
  <c r="T33" i="1" s="1"/>
  <c r="U34" i="1"/>
  <c r="T34" i="1" s="1"/>
  <c r="J36" i="1"/>
  <c r="K36" i="1" s="1"/>
  <c r="V37" i="1"/>
  <c r="T37" i="1" s="1"/>
  <c r="U38" i="1"/>
  <c r="T38" i="1" s="1"/>
  <c r="V42" i="1"/>
  <c r="S42" i="1" s="1"/>
  <c r="U43" i="1"/>
  <c r="T43" i="1" s="1"/>
  <c r="P43" i="1" s="1"/>
  <c r="L43" i="1" s="1"/>
  <c r="M43" i="1" s="1"/>
  <c r="V46" i="1"/>
  <c r="S46" i="1" s="1"/>
  <c r="J48" i="1"/>
  <c r="K48" i="1" s="1"/>
  <c r="U49" i="1"/>
  <c r="T49" i="1" s="1"/>
  <c r="U50" i="1"/>
  <c r="T50" i="1" s="1"/>
  <c r="P50" i="1" s="1"/>
  <c r="V53" i="1"/>
  <c r="S53" i="1" s="1"/>
  <c r="V55" i="1"/>
  <c r="T55" i="1" s="1"/>
  <c r="G56" i="1"/>
  <c r="U56" i="1"/>
  <c r="T56" i="1" s="1"/>
  <c r="U58" i="1"/>
  <c r="T58" i="1" s="1"/>
  <c r="T59" i="1" s="1"/>
  <c r="V61" i="1"/>
  <c r="S61" i="1" s="1"/>
  <c r="S63" i="1" s="1"/>
  <c r="J66" i="1"/>
  <c r="K66" i="1" s="1"/>
  <c r="V66" i="1"/>
  <c r="S66" i="1" s="1"/>
  <c r="G67" i="1"/>
  <c r="U67" i="1"/>
  <c r="T67" i="1" s="1"/>
  <c r="P67" i="1" s="1"/>
  <c r="L67" i="1" s="1"/>
  <c r="M67" i="1" s="1"/>
  <c r="V74" i="1"/>
  <c r="S74" i="1" s="1"/>
  <c r="U77" i="1"/>
  <c r="T77" i="1" s="1"/>
  <c r="P77" i="1" s="1"/>
  <c r="J80" i="1"/>
  <c r="K80" i="1" s="1"/>
  <c r="V80" i="1"/>
  <c r="S80" i="1" s="1"/>
  <c r="J84" i="1"/>
  <c r="K84" i="1" s="1"/>
  <c r="U87" i="1"/>
  <c r="T87" i="1" s="1"/>
  <c r="P87" i="1" s="1"/>
  <c r="L87" i="1" s="1"/>
  <c r="M87" i="1" s="1"/>
  <c r="V95" i="1"/>
  <c r="S95" i="1" s="1"/>
  <c r="V107" i="1"/>
  <c r="T107" i="1" s="1"/>
  <c r="U110" i="1"/>
  <c r="T110" i="1" s="1"/>
  <c r="P110" i="1" s="1"/>
  <c r="V117" i="1"/>
  <c r="S117" i="1" s="1"/>
  <c r="S119" i="1" s="1"/>
  <c r="U118" i="1"/>
  <c r="T118" i="1" s="1"/>
  <c r="P118" i="1" s="1"/>
  <c r="U120" i="1"/>
  <c r="T120" i="1" s="1"/>
  <c r="T121" i="1" s="1"/>
  <c r="V125" i="1"/>
  <c r="S125" i="1" s="1"/>
  <c r="U126" i="1"/>
  <c r="T126" i="1" s="1"/>
  <c r="V129" i="1"/>
  <c r="S129" i="1" s="1"/>
  <c r="V133" i="1"/>
  <c r="S133" i="1" s="1"/>
  <c r="S134" i="1" s="1"/>
  <c r="V138" i="1"/>
  <c r="S138" i="1" s="1"/>
  <c r="S141" i="1" s="1"/>
  <c r="U139" i="1"/>
  <c r="T139" i="1" s="1"/>
  <c r="P139" i="1" s="1"/>
  <c r="R139" i="1" s="1"/>
  <c r="V142" i="1"/>
  <c r="S142" i="1" s="1"/>
  <c r="U143" i="1"/>
  <c r="T143" i="1" s="1"/>
  <c r="P143" i="1" s="1"/>
  <c r="L143" i="1" s="1"/>
  <c r="M143" i="1" s="1"/>
  <c r="U148" i="1"/>
  <c r="T148" i="1" s="1"/>
  <c r="P148" i="1" s="1"/>
  <c r="V151" i="1"/>
  <c r="S151" i="1" s="1"/>
  <c r="G152" i="1"/>
  <c r="U152" i="1"/>
  <c r="V154" i="1"/>
  <c r="S154" i="1" s="1"/>
  <c r="U155" i="1"/>
  <c r="T155" i="1" s="1"/>
  <c r="P155" i="1" s="1"/>
  <c r="L155" i="1" s="1"/>
  <c r="M155" i="1" s="1"/>
  <c r="V158" i="1"/>
  <c r="S158" i="1" s="1"/>
  <c r="U159" i="1"/>
  <c r="T159" i="1" s="1"/>
  <c r="P159" i="1" s="1"/>
  <c r="J161" i="1"/>
  <c r="K161" i="1" s="1"/>
  <c r="V161" i="1"/>
  <c r="S161" i="1" s="1"/>
  <c r="U162" i="1"/>
  <c r="J164" i="1"/>
  <c r="K164" i="1" s="1"/>
  <c r="V165" i="1"/>
  <c r="T165" i="1" s="1"/>
  <c r="V169" i="1"/>
  <c r="S169" i="1" s="1"/>
  <c r="U170" i="1"/>
  <c r="V173" i="1"/>
  <c r="S173" i="1" s="1"/>
  <c r="U174" i="1"/>
  <c r="T174" i="1" s="1"/>
  <c r="P174" i="1" s="1"/>
  <c r="V177" i="1"/>
  <c r="U178" i="1"/>
  <c r="V181" i="1"/>
  <c r="S181" i="1" s="1"/>
  <c r="U182" i="1"/>
  <c r="J14" i="1"/>
  <c r="K14" i="1" s="1"/>
  <c r="Q27" i="1"/>
  <c r="G29" i="1"/>
  <c r="G42" i="1"/>
  <c r="J44" i="1"/>
  <c r="K44" i="1" s="1"/>
  <c r="J53" i="1"/>
  <c r="K53" i="1" s="1"/>
  <c r="J56" i="1"/>
  <c r="K56" i="1" s="1"/>
  <c r="J79" i="1"/>
  <c r="K79" i="1" s="1"/>
  <c r="G108" i="1"/>
  <c r="J109" i="1"/>
  <c r="K109" i="1" s="1"/>
  <c r="J128" i="1"/>
  <c r="K128" i="1" s="1"/>
  <c r="G138" i="1"/>
  <c r="J151" i="1"/>
  <c r="K151" i="1" s="1"/>
  <c r="J162" i="1"/>
  <c r="K162" i="1" s="1"/>
  <c r="J168" i="1"/>
  <c r="K168" i="1" s="1"/>
  <c r="J4" i="1"/>
  <c r="K4" i="1" s="1"/>
  <c r="Q6" i="1"/>
  <c r="J5" i="1"/>
  <c r="K5" i="1" s="1"/>
  <c r="G9" i="1"/>
  <c r="G18" i="1"/>
  <c r="J20" i="1"/>
  <c r="K20" i="1" s="1"/>
  <c r="J33" i="1"/>
  <c r="K33" i="1" s="1"/>
  <c r="G44" i="1"/>
  <c r="L47" i="1"/>
  <c r="M47" i="1" s="1"/>
  <c r="J73" i="1"/>
  <c r="K73" i="1" s="1"/>
  <c r="J74" i="1"/>
  <c r="K74" i="1" s="1"/>
  <c r="G76" i="1"/>
  <c r="J108" i="1"/>
  <c r="K108" i="1" s="1"/>
  <c r="J126" i="1"/>
  <c r="K126" i="1" s="1"/>
  <c r="J129" i="1"/>
  <c r="J138" i="1"/>
  <c r="K138" i="1" s="1"/>
  <c r="G140" i="1"/>
  <c r="G143" i="1"/>
  <c r="J144" i="1"/>
  <c r="K144" i="1" s="1"/>
  <c r="G150" i="1"/>
  <c r="J152" i="1"/>
  <c r="K152" i="1" s="1"/>
  <c r="G170" i="1"/>
  <c r="G10" i="1"/>
  <c r="G15" i="1"/>
  <c r="J30" i="1"/>
  <c r="K30" i="1" s="1"/>
  <c r="J34" i="1"/>
  <c r="K34" i="1" s="1"/>
  <c r="G45" i="1"/>
  <c r="G58" i="1"/>
  <c r="J65" i="1"/>
  <c r="K65" i="1" s="1"/>
  <c r="G71" i="1"/>
  <c r="R94" i="1"/>
  <c r="G95" i="1"/>
  <c r="G102" i="1"/>
  <c r="G107" i="1"/>
  <c r="J150" i="1"/>
  <c r="K150" i="1" s="1"/>
  <c r="J16" i="1"/>
  <c r="K16" i="1" s="1"/>
  <c r="J86" i="1"/>
  <c r="K86" i="1" s="1"/>
  <c r="J107" i="1"/>
  <c r="K107" i="1" s="1"/>
  <c r="J115" i="1"/>
  <c r="K115" i="1" s="1"/>
  <c r="J149" i="1"/>
  <c r="K149" i="1" s="1"/>
  <c r="J154" i="1"/>
  <c r="K154" i="1" s="1"/>
  <c r="Q54" i="1"/>
  <c r="G104" i="1"/>
  <c r="G148" i="1"/>
  <c r="G5" i="1"/>
  <c r="G7" i="1"/>
  <c r="Q11" i="1"/>
  <c r="G12" i="1"/>
  <c r="Q17" i="1"/>
  <c r="J13" i="1"/>
  <c r="K13" i="1" s="1"/>
  <c r="J18" i="1"/>
  <c r="K18" i="1" s="1"/>
  <c r="G20" i="1"/>
  <c r="T20" i="1"/>
  <c r="P20" i="1" s="1"/>
  <c r="L20" i="1" s="1"/>
  <c r="M20" i="1" s="1"/>
  <c r="G24" i="1"/>
  <c r="J26" i="1"/>
  <c r="K26" i="1" s="1"/>
  <c r="Q40" i="1"/>
  <c r="J37" i="1"/>
  <c r="K37" i="1" s="1"/>
  <c r="J52" i="1"/>
  <c r="K52" i="1" s="1"/>
  <c r="Q69" i="1"/>
  <c r="G75" i="1"/>
  <c r="J78" i="1"/>
  <c r="K78" i="1" s="1"/>
  <c r="J82" i="1"/>
  <c r="K82" i="1" s="1"/>
  <c r="G85" i="1"/>
  <c r="G90" i="1"/>
  <c r="J97" i="1"/>
  <c r="K97" i="1" s="1"/>
  <c r="J98" i="1"/>
  <c r="K98" i="1" s="1"/>
  <c r="J103" i="1"/>
  <c r="K103" i="1" s="1"/>
  <c r="J112" i="1"/>
  <c r="K112" i="1" s="1"/>
  <c r="J124" i="1"/>
  <c r="K124" i="1" s="1"/>
  <c r="G149" i="1"/>
  <c r="G154" i="1"/>
  <c r="J165" i="1"/>
  <c r="K165" i="1" s="1"/>
  <c r="J167" i="1"/>
  <c r="K167" i="1" s="1"/>
  <c r="J169" i="1"/>
  <c r="K169" i="1" s="1"/>
  <c r="G171" i="1"/>
  <c r="G174" i="1"/>
  <c r="G178" i="1"/>
  <c r="G117" i="1"/>
  <c r="J145" i="1"/>
  <c r="J158" i="1"/>
  <c r="K158" i="1" s="1"/>
  <c r="J171" i="1"/>
  <c r="K171" i="1" s="1"/>
  <c r="G8" i="1"/>
  <c r="J24" i="1"/>
  <c r="K24" i="1" s="1"/>
  <c r="J35" i="1"/>
  <c r="K35" i="1" s="1"/>
  <c r="G72" i="1"/>
  <c r="J90" i="1"/>
  <c r="K90" i="1" s="1"/>
  <c r="J92" i="1"/>
  <c r="K92" i="1" s="1"/>
  <c r="G93" i="1"/>
  <c r="R97" i="1"/>
  <c r="G101" i="1"/>
  <c r="Q130" i="1"/>
  <c r="J136" i="1"/>
  <c r="G139" i="1"/>
  <c r="G142" i="1"/>
  <c r="J163" i="1"/>
  <c r="K163" i="1" s="1"/>
  <c r="Q172" i="1"/>
  <c r="L51" i="1"/>
  <c r="M51" i="1" s="1"/>
  <c r="T65" i="1"/>
  <c r="P65" i="1" s="1"/>
  <c r="T78" i="1"/>
  <c r="P78" i="1" s="1"/>
  <c r="T105" i="1"/>
  <c r="P105" i="1" s="1"/>
  <c r="P57" i="1"/>
  <c r="R57" i="1" s="1"/>
  <c r="T92" i="1"/>
  <c r="P92" i="1" s="1"/>
  <c r="T115" i="1"/>
  <c r="P115" i="1" s="1"/>
  <c r="T128" i="1"/>
  <c r="P128" i="1" s="1"/>
  <c r="T138" i="1"/>
  <c r="P138" i="1" s="1"/>
  <c r="T124" i="1"/>
  <c r="P124" i="1" s="1"/>
  <c r="T132" i="1"/>
  <c r="P132" i="1" s="1"/>
  <c r="T150" i="1"/>
  <c r="P150" i="1" s="1"/>
  <c r="R150" i="1" s="1"/>
  <c r="T168" i="1"/>
  <c r="P168" i="1" s="1"/>
  <c r="L168" i="1" s="1"/>
  <c r="M168" i="1" s="1"/>
  <c r="T140" i="1"/>
  <c r="L94" i="1"/>
  <c r="M94" i="1" s="1"/>
  <c r="T25" i="1"/>
  <c r="T48" i="1"/>
  <c r="P48" i="1" s="1"/>
  <c r="L48" i="1" s="1"/>
  <c r="M48" i="1" s="1"/>
  <c r="T79" i="1"/>
  <c r="P79" i="1" s="1"/>
  <c r="T10" i="1"/>
  <c r="P10" i="1" s="1"/>
  <c r="T14" i="1"/>
  <c r="P14" i="1" s="1"/>
  <c r="L14" i="1" s="1"/>
  <c r="M14" i="1" s="1"/>
  <c r="T39" i="1"/>
  <c r="T70" i="1"/>
  <c r="P70" i="1" s="1"/>
  <c r="T127" i="1"/>
  <c r="P127" i="1" s="1"/>
  <c r="T156" i="1"/>
  <c r="P156" i="1" s="1"/>
  <c r="R156" i="1" s="1"/>
  <c r="T167" i="1"/>
  <c r="P167" i="1" s="1"/>
  <c r="R167" i="1" s="1"/>
  <c r="T15" i="1"/>
  <c r="P15" i="1" s="1"/>
  <c r="T26" i="1"/>
  <c r="T176" i="1"/>
  <c r="P176" i="1" s="1"/>
  <c r="L176" i="1" s="1"/>
  <c r="M176" i="1" s="1"/>
  <c r="T9" i="1"/>
  <c r="P9" i="1" s="1"/>
  <c r="S39" i="1"/>
  <c r="T41" i="1"/>
  <c r="T44" i="1"/>
  <c r="P44" i="1" s="1"/>
  <c r="L44" i="1" s="1"/>
  <c r="M44" i="1" s="1"/>
  <c r="T101" i="1"/>
  <c r="P101" i="1" s="1"/>
  <c r="L101" i="1" s="1"/>
  <c r="M101" i="1" s="1"/>
  <c r="T112" i="1"/>
  <c r="P112" i="1" s="1"/>
  <c r="R112" i="1" s="1"/>
  <c r="T123" i="1"/>
  <c r="P123" i="1" s="1"/>
  <c r="S179" i="1"/>
  <c r="T179" i="1"/>
  <c r="T4" i="1"/>
  <c r="P4" i="1" s="1"/>
  <c r="S13" i="1"/>
  <c r="J15" i="1"/>
  <c r="K15" i="1" s="1"/>
  <c r="G16" i="1"/>
  <c r="Q21" i="1"/>
  <c r="J19" i="1"/>
  <c r="K19" i="1" s="1"/>
  <c r="G22" i="1"/>
  <c r="S24" i="1"/>
  <c r="S25" i="1"/>
  <c r="J29" i="1"/>
  <c r="K29" i="1" s="1"/>
  <c r="Q32" i="1"/>
  <c r="G34" i="1"/>
  <c r="T35" i="1"/>
  <c r="G36" i="1"/>
  <c r="G38" i="1"/>
  <c r="S41" i="1"/>
  <c r="L45" i="1"/>
  <c r="M45" i="1" s="1"/>
  <c r="J46" i="1"/>
  <c r="K46" i="1" s="1"/>
  <c r="S49" i="1"/>
  <c r="G51" i="1"/>
  <c r="T68" i="1"/>
  <c r="S68" i="1"/>
  <c r="Q153" i="1"/>
  <c r="T103" i="1"/>
  <c r="S103" i="1"/>
  <c r="T5" i="1"/>
  <c r="P5" i="1" s="1"/>
  <c r="J7" i="1"/>
  <c r="K7" i="1" s="1"/>
  <c r="J8" i="1"/>
  <c r="K8" i="1" s="1"/>
  <c r="J9" i="1"/>
  <c r="J10" i="1"/>
  <c r="K10" i="1" s="1"/>
  <c r="J12" i="1"/>
  <c r="K12" i="1" s="1"/>
  <c r="G13" i="1"/>
  <c r="G14" i="1"/>
  <c r="G19" i="1"/>
  <c r="T19" i="1"/>
  <c r="P19" i="1" s="1"/>
  <c r="L19" i="1" s="1"/>
  <c r="M19" i="1" s="1"/>
  <c r="G33" i="1"/>
  <c r="G35" i="1"/>
  <c r="T36" i="1"/>
  <c r="G37" i="1"/>
  <c r="G39" i="1"/>
  <c r="J42" i="1"/>
  <c r="K42" i="1" s="1"/>
  <c r="S58" i="1"/>
  <c r="S59" i="1" s="1"/>
  <c r="J55" i="1"/>
  <c r="K55" i="1" s="1"/>
  <c r="T60" i="1"/>
  <c r="P60" i="1" s="1"/>
  <c r="R60" i="1" s="1"/>
  <c r="J61" i="1"/>
  <c r="K61" i="1" s="1"/>
  <c r="T62" i="1"/>
  <c r="P62" i="1" s="1"/>
  <c r="L62" i="1" s="1"/>
  <c r="M62" i="1" s="1"/>
  <c r="J67" i="1"/>
  <c r="J68" i="1"/>
  <c r="K68" i="1" s="1"/>
  <c r="G77" i="1"/>
  <c r="G79" i="1"/>
  <c r="G81" i="1"/>
  <c r="G83" i="1"/>
  <c r="G92" i="1"/>
  <c r="J94" i="1"/>
  <c r="J99" i="1"/>
  <c r="K99" i="1" s="1"/>
  <c r="J100" i="1"/>
  <c r="K100" i="1" s="1"/>
  <c r="G105" i="1"/>
  <c r="G109" i="1"/>
  <c r="G111" i="1"/>
  <c r="T111" i="1"/>
  <c r="P111" i="1" s="1"/>
  <c r="L111" i="1" s="1"/>
  <c r="M111" i="1" s="1"/>
  <c r="J113" i="1"/>
  <c r="K113" i="1" s="1"/>
  <c r="J116" i="1"/>
  <c r="K116" i="1" s="1"/>
  <c r="G123" i="1"/>
  <c r="G125" i="1"/>
  <c r="G127" i="1"/>
  <c r="G129" i="1"/>
  <c r="Q134" i="1"/>
  <c r="J133" i="1"/>
  <c r="K133" i="1" s="1"/>
  <c r="G135" i="1"/>
  <c r="Q141" i="1"/>
  <c r="J143" i="1"/>
  <c r="K143" i="1" s="1"/>
  <c r="G144" i="1"/>
  <c r="T145" i="1"/>
  <c r="P145" i="1" s="1"/>
  <c r="L145" i="1" s="1"/>
  <c r="M145" i="1" s="1"/>
  <c r="T149" i="1"/>
  <c r="P149" i="1" s="1"/>
  <c r="J156" i="1"/>
  <c r="K156" i="1" s="1"/>
  <c r="G160" i="1"/>
  <c r="G162" i="1"/>
  <c r="G164" i="1"/>
  <c r="G173" i="1"/>
  <c r="G175" i="1"/>
  <c r="G177" i="1"/>
  <c r="G179" i="1"/>
  <c r="S56" i="1"/>
  <c r="J58" i="1"/>
  <c r="J59" i="1" s="1"/>
  <c r="K59" i="1" s="1"/>
  <c r="J60" i="1"/>
  <c r="J62" i="1"/>
  <c r="K62" i="1" s="1"/>
  <c r="Q91" i="1"/>
  <c r="G73" i="1"/>
  <c r="G74" i="1"/>
  <c r="J76" i="1"/>
  <c r="K76" i="1" s="1"/>
  <c r="G78" i="1"/>
  <c r="G80" i="1"/>
  <c r="J87" i="1"/>
  <c r="K87" i="1" s="1"/>
  <c r="G89" i="1"/>
  <c r="J93" i="1"/>
  <c r="K93" i="1" s="1"/>
  <c r="J95" i="1"/>
  <c r="K95" i="1" s="1"/>
  <c r="G99" i="1"/>
  <c r="J111" i="1"/>
  <c r="K111" i="1" s="1"/>
  <c r="G113" i="1"/>
  <c r="T116" i="1"/>
  <c r="P116" i="1" s="1"/>
  <c r="J118" i="1"/>
  <c r="K118" i="1" s="1"/>
  <c r="G124" i="1"/>
  <c r="G126" i="1"/>
  <c r="G128" i="1"/>
  <c r="G136" i="1"/>
  <c r="J139" i="1"/>
  <c r="J140" i="1"/>
  <c r="K140" i="1" s="1"/>
  <c r="J142" i="1"/>
  <c r="G145" i="1"/>
  <c r="J155" i="1"/>
  <c r="K155" i="1" s="1"/>
  <c r="J157" i="1"/>
  <c r="K157" i="1" s="1"/>
  <c r="G159" i="1"/>
  <c r="G161" i="1"/>
  <c r="G163" i="1"/>
  <c r="G165" i="1"/>
  <c r="K170" i="1"/>
  <c r="J181" i="1"/>
  <c r="S6" i="1"/>
  <c r="K25" i="1"/>
  <c r="S21" i="1"/>
  <c r="K105" i="1"/>
  <c r="K22" i="1"/>
  <c r="R45" i="1"/>
  <c r="R47" i="1"/>
  <c r="J75" i="1"/>
  <c r="K75" i="1" s="1"/>
  <c r="G88" i="1"/>
  <c r="J89" i="1"/>
  <c r="K89" i="1" s="1"/>
  <c r="R93" i="1"/>
  <c r="L93" i="1"/>
  <c r="M93" i="1" s="1"/>
  <c r="J121" i="1"/>
  <c r="K123" i="1"/>
  <c r="K129" i="1"/>
  <c r="T31" i="1"/>
  <c r="P31" i="1" s="1"/>
  <c r="S34" i="1"/>
  <c r="S35" i="1"/>
  <c r="S36" i="1"/>
  <c r="S38" i="1"/>
  <c r="J41" i="1"/>
  <c r="J43" i="1"/>
  <c r="J45" i="1"/>
  <c r="J47" i="1"/>
  <c r="J49" i="1"/>
  <c r="T52" i="1"/>
  <c r="P52" i="1" s="1"/>
  <c r="Q63" i="1"/>
  <c r="J70" i="1"/>
  <c r="R73" i="1"/>
  <c r="J71" i="1"/>
  <c r="K71" i="1" s="1"/>
  <c r="T85" i="1"/>
  <c r="P85" i="1" s="1"/>
  <c r="G87" i="1"/>
  <c r="Q119" i="1"/>
  <c r="L99" i="1"/>
  <c r="M99" i="1" s="1"/>
  <c r="R99" i="1"/>
  <c r="G100" i="1"/>
  <c r="J101" i="1"/>
  <c r="G110" i="1"/>
  <c r="G112" i="1"/>
  <c r="J102" i="1"/>
  <c r="K102" i="1" s="1"/>
  <c r="Q114" i="1"/>
  <c r="G116" i="1"/>
  <c r="K117" i="1"/>
  <c r="G118" i="1"/>
  <c r="Q106" i="1"/>
  <c r="G132" i="1"/>
  <c r="K145" i="1"/>
  <c r="T164" i="1"/>
  <c r="S164" i="1"/>
  <c r="G133" i="1"/>
  <c r="Q146" i="1"/>
  <c r="Q166" i="1"/>
  <c r="S163" i="1"/>
  <c r="L147" i="1"/>
  <c r="M147" i="1" s="1"/>
  <c r="T135" i="1"/>
  <c r="P135" i="1" s="1"/>
  <c r="T136" i="1"/>
  <c r="P136" i="1" s="1"/>
  <c r="J173" i="1"/>
  <c r="J174" i="1"/>
  <c r="J175" i="1"/>
  <c r="J176" i="1"/>
  <c r="J177" i="1"/>
  <c r="J178" i="1"/>
  <c r="J179" i="1"/>
  <c r="G182" i="1"/>
  <c r="G155" i="1"/>
  <c r="G156" i="1"/>
  <c r="G157" i="1"/>
  <c r="T157" i="1"/>
  <c r="P157" i="1" s="1"/>
  <c r="T158" i="1"/>
  <c r="P158" i="1" s="1"/>
  <c r="T160" i="1"/>
  <c r="P160" i="1" s="1"/>
  <c r="G181" i="1"/>
  <c r="Q183" i="1"/>
  <c r="T175" i="1" l="1"/>
  <c r="S165" i="1"/>
  <c r="S166" i="1" s="1"/>
  <c r="T154" i="1"/>
  <c r="P154" i="1" s="1"/>
  <c r="R154" i="1" s="1"/>
  <c r="T182" i="1"/>
  <c r="P182" i="1" s="1"/>
  <c r="L182" i="1" s="1"/>
  <c r="M182" i="1" s="1"/>
  <c r="T151" i="1"/>
  <c r="P151" i="1" s="1"/>
  <c r="R151" i="1" s="1"/>
  <c r="T144" i="1"/>
  <c r="P144" i="1" s="1"/>
  <c r="R144" i="1" s="1"/>
  <c r="J146" i="1"/>
  <c r="N146" i="1" s="1"/>
  <c r="O146" i="1" s="1"/>
  <c r="S29" i="1"/>
  <c r="P29" i="1" s="1"/>
  <c r="P32" i="1" s="1"/>
  <c r="T74" i="1"/>
  <c r="P74" i="1" s="1"/>
  <c r="L74" i="1" s="1"/>
  <c r="M74" i="1" s="1"/>
  <c r="T16" i="1"/>
  <c r="P16" i="1" s="1"/>
  <c r="L16" i="1" s="1"/>
  <c r="M16" i="1" s="1"/>
  <c r="T42" i="1"/>
  <c r="P42" i="1" s="1"/>
  <c r="R42" i="1" s="1"/>
  <c r="S183" i="1"/>
  <c r="T152" i="1"/>
  <c r="P152" i="1" s="1"/>
  <c r="L152" i="1" s="1"/>
  <c r="M152" i="1" s="1"/>
  <c r="S91" i="1"/>
  <c r="N97" i="1"/>
  <c r="O97" i="1" s="1"/>
  <c r="J183" i="1"/>
  <c r="N183" i="1" s="1"/>
  <c r="O183" i="1" s="1"/>
  <c r="T169" i="1"/>
  <c r="P169" i="1" s="1"/>
  <c r="L169" i="1" s="1"/>
  <c r="M169" i="1" s="1"/>
  <c r="T7" i="1"/>
  <c r="T11" i="1" s="1"/>
  <c r="T125" i="1"/>
  <c r="P125" i="1" s="1"/>
  <c r="R125" i="1" s="1"/>
  <c r="J137" i="1"/>
  <c r="K137" i="1" s="1"/>
  <c r="T178" i="1"/>
  <c r="P178" i="1" s="1"/>
  <c r="L178" i="1" s="1"/>
  <c r="M178" i="1" s="1"/>
  <c r="T170" i="1"/>
  <c r="P170" i="1" s="1"/>
  <c r="L170" i="1" s="1"/>
  <c r="M170" i="1" s="1"/>
  <c r="T162" i="1"/>
  <c r="P162" i="1" s="1"/>
  <c r="S146" i="1"/>
  <c r="K136" i="1"/>
  <c r="T177" i="1"/>
  <c r="S172" i="1"/>
  <c r="S153" i="1"/>
  <c r="J40" i="1"/>
  <c r="K40" i="1" s="1"/>
  <c r="T142" i="1"/>
  <c r="P142" i="1" s="1"/>
  <c r="R142" i="1" s="1"/>
  <c r="R145" i="1"/>
  <c r="S69" i="1"/>
  <c r="T117" i="1"/>
  <c r="P117" i="1" s="1"/>
  <c r="L117" i="1" s="1"/>
  <c r="M117" i="1" s="1"/>
  <c r="T161" i="1"/>
  <c r="P161" i="1" s="1"/>
  <c r="R161" i="1" s="1"/>
  <c r="S177" i="1"/>
  <c r="J130" i="1"/>
  <c r="K130" i="1" s="1"/>
  <c r="S130" i="1"/>
  <c r="T133" i="1"/>
  <c r="P133" i="1" s="1"/>
  <c r="L133" i="1" s="1"/>
  <c r="T53" i="1"/>
  <c r="P53" i="1" s="1"/>
  <c r="L53" i="1" s="1"/>
  <c r="S107" i="1"/>
  <c r="S114" i="1" s="1"/>
  <c r="T173" i="1"/>
  <c r="P173" i="1" s="1"/>
  <c r="R173" i="1" s="1"/>
  <c r="S55" i="1"/>
  <c r="P55" i="1" s="1"/>
  <c r="R55" i="1" s="1"/>
  <c r="J172" i="1"/>
  <c r="K172" i="1" s="1"/>
  <c r="T95" i="1"/>
  <c r="P95" i="1" s="1"/>
  <c r="R95" i="1" s="1"/>
  <c r="S106" i="1"/>
  <c r="J32" i="1"/>
  <c r="K32" i="1" s="1"/>
  <c r="P39" i="1"/>
  <c r="R39" i="1" s="1"/>
  <c r="T22" i="1"/>
  <c r="T23" i="1" s="1"/>
  <c r="T129" i="1"/>
  <c r="P129" i="1" s="1"/>
  <c r="L129" i="1" s="1"/>
  <c r="S37" i="1"/>
  <c r="P37" i="1" s="1"/>
  <c r="L37" i="1" s="1"/>
  <c r="S33" i="1"/>
  <c r="T61" i="1"/>
  <c r="P61" i="1" s="1"/>
  <c r="L61" i="1" s="1"/>
  <c r="M61" i="1" s="1"/>
  <c r="T181" i="1"/>
  <c r="Q28" i="1"/>
  <c r="S12" i="1"/>
  <c r="S17" i="1" s="1"/>
  <c r="T80" i="1"/>
  <c r="P80" i="1" s="1"/>
  <c r="L80" i="1" s="1"/>
  <c r="T46" i="1"/>
  <c r="P46" i="1" s="1"/>
  <c r="R46" i="1" s="1"/>
  <c r="T66" i="1"/>
  <c r="P66" i="1" s="1"/>
  <c r="R66" i="1" s="1"/>
  <c r="J153" i="1"/>
  <c r="K153" i="1" s="1"/>
  <c r="J6" i="1"/>
  <c r="K6" i="1" s="1"/>
  <c r="N51" i="1"/>
  <c r="O51" i="1" s="1"/>
  <c r="J27" i="1"/>
  <c r="K27" i="1" s="1"/>
  <c r="Q64" i="1"/>
  <c r="N94" i="1"/>
  <c r="O94" i="1" s="1"/>
  <c r="J63" i="1"/>
  <c r="K63" i="1" s="1"/>
  <c r="K181" i="1"/>
  <c r="J57" i="1"/>
  <c r="K57" i="1" s="1"/>
  <c r="J134" i="1"/>
  <c r="K134" i="1" s="1"/>
  <c r="K142" i="1"/>
  <c r="K94" i="1"/>
  <c r="J119" i="1"/>
  <c r="K119" i="1" s="1"/>
  <c r="J17" i="1"/>
  <c r="K17" i="1" s="1"/>
  <c r="N143" i="1"/>
  <c r="O143" i="1" s="1"/>
  <c r="R155" i="1"/>
  <c r="R138" i="1"/>
  <c r="L138" i="1"/>
  <c r="M138" i="1" s="1"/>
  <c r="P35" i="1"/>
  <c r="L35" i="1" s="1"/>
  <c r="P25" i="1"/>
  <c r="R25" i="1" s="1"/>
  <c r="L174" i="1"/>
  <c r="M174" i="1" s="1"/>
  <c r="R174" i="1"/>
  <c r="L156" i="1"/>
  <c r="M156" i="1" s="1"/>
  <c r="L139" i="1"/>
  <c r="M139" i="1" s="1"/>
  <c r="P36" i="1"/>
  <c r="L36" i="1" s="1"/>
  <c r="T27" i="1"/>
  <c r="T21" i="1"/>
  <c r="T141" i="1"/>
  <c r="P24" i="1"/>
  <c r="R24" i="1" s="1"/>
  <c r="R48" i="1"/>
  <c r="N48" i="1"/>
  <c r="O48" i="1" s="1"/>
  <c r="R43" i="1"/>
  <c r="P140" i="1"/>
  <c r="R140" i="1" s="1"/>
  <c r="R143" i="1"/>
  <c r="P103" i="1"/>
  <c r="L103" i="1" s="1"/>
  <c r="P26" i="1"/>
  <c r="R9" i="1"/>
  <c r="L9" i="1"/>
  <c r="M9" i="1" s="1"/>
  <c r="Q147" i="1"/>
  <c r="J141" i="1"/>
  <c r="K141" i="1" s="1"/>
  <c r="J11" i="1"/>
  <c r="K11" i="1" s="1"/>
  <c r="P13" i="1"/>
  <c r="L13" i="1" s="1"/>
  <c r="M13" i="1" s="1"/>
  <c r="R67" i="1"/>
  <c r="P18" i="1"/>
  <c r="R18" i="1" s="1"/>
  <c r="K9" i="1"/>
  <c r="J21" i="1"/>
  <c r="K21" i="1" s="1"/>
  <c r="R62" i="1"/>
  <c r="N44" i="1"/>
  <c r="O44" i="1" s="1"/>
  <c r="S180" i="1"/>
  <c r="R44" i="1"/>
  <c r="P68" i="1"/>
  <c r="R68" i="1" s="1"/>
  <c r="P49" i="1"/>
  <c r="R70" i="1"/>
  <c r="L70" i="1"/>
  <c r="N70" i="1" s="1"/>
  <c r="L15" i="1"/>
  <c r="M15" i="1" s="1"/>
  <c r="R15" i="1"/>
  <c r="R110" i="1"/>
  <c r="L110" i="1"/>
  <c r="M110" i="1" s="1"/>
  <c r="L10" i="1"/>
  <c r="M10" i="1" s="1"/>
  <c r="R10" i="1"/>
  <c r="N67" i="1"/>
  <c r="O67" i="1" s="1"/>
  <c r="N171" i="1"/>
  <c r="O171" i="1" s="1"/>
  <c r="L150" i="1"/>
  <c r="M150" i="1" s="1"/>
  <c r="S54" i="1"/>
  <c r="R14" i="1"/>
  <c r="N14" i="1"/>
  <c r="O14" i="1" s="1"/>
  <c r="R176" i="1"/>
  <c r="P175" i="1"/>
  <c r="L175" i="1" s="1"/>
  <c r="M175" i="1" s="1"/>
  <c r="P41" i="1"/>
  <c r="R171" i="1"/>
  <c r="N20" i="1"/>
  <c r="O20" i="1" s="1"/>
  <c r="N19" i="1"/>
  <c r="O19" i="1" s="1"/>
  <c r="R101" i="1"/>
  <c r="P164" i="1"/>
  <c r="L164" i="1" s="1"/>
  <c r="P120" i="1"/>
  <c r="R120" i="1" s="1"/>
  <c r="R121" i="1" s="1"/>
  <c r="P126" i="1"/>
  <c r="R126" i="1" s="1"/>
  <c r="R20" i="1"/>
  <c r="R19" i="1"/>
  <c r="R8" i="1"/>
  <c r="P56" i="1"/>
  <c r="R56" i="1" s="1"/>
  <c r="L116" i="1"/>
  <c r="R116" i="1"/>
  <c r="L5" i="1"/>
  <c r="R5" i="1"/>
  <c r="M8" i="1"/>
  <c r="N8" i="1"/>
  <c r="O8" i="1" s="1"/>
  <c r="L118" i="1"/>
  <c r="R118" i="1"/>
  <c r="N168" i="1"/>
  <c r="O168" i="1" s="1"/>
  <c r="J166" i="1"/>
  <c r="N166" i="1" s="1"/>
  <c r="O166" i="1" s="1"/>
  <c r="K139" i="1"/>
  <c r="N93" i="1"/>
  <c r="O93" i="1" s="1"/>
  <c r="P58" i="1"/>
  <c r="R58" i="1" s="1"/>
  <c r="R59" i="1" s="1"/>
  <c r="K58" i="1"/>
  <c r="T6" i="1"/>
  <c r="J69" i="1"/>
  <c r="K69" i="1" s="1"/>
  <c r="T40" i="1"/>
  <c r="N145" i="1"/>
  <c r="O145" i="1" s="1"/>
  <c r="T114" i="1"/>
  <c r="K60" i="1"/>
  <c r="S27" i="1"/>
  <c r="J114" i="1"/>
  <c r="K114" i="1" s="1"/>
  <c r="K67" i="1"/>
  <c r="R168" i="1"/>
  <c r="L112" i="1"/>
  <c r="Q122" i="1"/>
  <c r="N99" i="1"/>
  <c r="O99" i="1" s="1"/>
  <c r="R87" i="1"/>
  <c r="P38" i="1"/>
  <c r="L38" i="1" s="1"/>
  <c r="P34" i="1"/>
  <c r="L34" i="1" s="1"/>
  <c r="P179" i="1"/>
  <c r="L160" i="1"/>
  <c r="R160" i="1"/>
  <c r="L136" i="1"/>
  <c r="R136" i="1"/>
  <c r="L135" i="1"/>
  <c r="R135" i="1"/>
  <c r="L85" i="1"/>
  <c r="R85" i="1"/>
  <c r="L31" i="1"/>
  <c r="R31" i="1"/>
  <c r="L159" i="1"/>
  <c r="R159" i="1"/>
  <c r="L157" i="1"/>
  <c r="R157" i="1"/>
  <c r="K176" i="1"/>
  <c r="N176" i="1"/>
  <c r="O176" i="1" s="1"/>
  <c r="L131" i="1"/>
  <c r="R131" i="1"/>
  <c r="K70" i="1"/>
  <c r="J91" i="1"/>
  <c r="K91" i="1" s="1"/>
  <c r="K45" i="1"/>
  <c r="N45" i="1"/>
  <c r="O45" i="1" s="1"/>
  <c r="L167" i="1"/>
  <c r="K179" i="1"/>
  <c r="K175" i="1"/>
  <c r="P163" i="1"/>
  <c r="L132" i="1"/>
  <c r="R132" i="1"/>
  <c r="N155" i="1"/>
  <c r="O155" i="1" s="1"/>
  <c r="L127" i="1"/>
  <c r="R127" i="1"/>
  <c r="L123" i="1"/>
  <c r="R123" i="1"/>
  <c r="N111" i="1"/>
  <c r="O111" i="1" s="1"/>
  <c r="L105" i="1"/>
  <c r="R105" i="1"/>
  <c r="K43" i="1"/>
  <c r="N43" i="1"/>
  <c r="O43" i="1" s="1"/>
  <c r="N87" i="1"/>
  <c r="O87" i="1" s="1"/>
  <c r="L79" i="1"/>
  <c r="R79" i="1"/>
  <c r="L77" i="1"/>
  <c r="R77" i="1"/>
  <c r="L60" i="1"/>
  <c r="T32" i="1"/>
  <c r="P6" i="1"/>
  <c r="R4" i="1"/>
  <c r="L4" i="1"/>
  <c r="L115" i="1"/>
  <c r="L128" i="1"/>
  <c r="R128" i="1"/>
  <c r="L50" i="1"/>
  <c r="R50" i="1"/>
  <c r="R92" i="1"/>
  <c r="L92" i="1"/>
  <c r="Q184" i="1"/>
  <c r="K178" i="1"/>
  <c r="K174" i="1"/>
  <c r="R148" i="1"/>
  <c r="L148" i="1"/>
  <c r="R111" i="1"/>
  <c r="K101" i="1"/>
  <c r="N101" i="1"/>
  <c r="O101" i="1" s="1"/>
  <c r="R115" i="1"/>
  <c r="L52" i="1"/>
  <c r="R52" i="1"/>
  <c r="J106" i="1"/>
  <c r="K106" i="1" s="1"/>
  <c r="N62" i="1"/>
  <c r="O62" i="1" s="1"/>
  <c r="K49" i="1"/>
  <c r="K121" i="1"/>
  <c r="R149" i="1"/>
  <c r="L149" i="1"/>
  <c r="L124" i="1"/>
  <c r="R124" i="1"/>
  <c r="K177" i="1"/>
  <c r="J180" i="1"/>
  <c r="K173" i="1"/>
  <c r="L158" i="1"/>
  <c r="R158" i="1"/>
  <c r="L125" i="1"/>
  <c r="R65" i="1"/>
  <c r="L65" i="1"/>
  <c r="K47" i="1"/>
  <c r="N47" i="1"/>
  <c r="O47" i="1" s="1"/>
  <c r="K41" i="1"/>
  <c r="J54" i="1"/>
  <c r="K54" i="1" s="1"/>
  <c r="L78" i="1"/>
  <c r="R78" i="1"/>
  <c r="R152" i="1" l="1"/>
  <c r="L161" i="1"/>
  <c r="P7" i="1"/>
  <c r="R7" i="1" s="1"/>
  <c r="L154" i="1"/>
  <c r="K183" i="1"/>
  <c r="R182" i="1"/>
  <c r="K146" i="1"/>
  <c r="N182" i="1"/>
  <c r="O182" i="1" s="1"/>
  <c r="N137" i="1"/>
  <c r="O137" i="1" s="1"/>
  <c r="R61" i="1"/>
  <c r="N130" i="1"/>
  <c r="O130" i="1" s="1"/>
  <c r="S32" i="1"/>
  <c r="T183" i="1"/>
  <c r="S147" i="1"/>
  <c r="P165" i="1"/>
  <c r="L165" i="1" s="1"/>
  <c r="L151" i="1"/>
  <c r="M151" i="1" s="1"/>
  <c r="R74" i="1"/>
  <c r="T134" i="1"/>
  <c r="P177" i="1"/>
  <c r="L177" i="1" s="1"/>
  <c r="L39" i="1"/>
  <c r="M39" i="1" s="1"/>
  <c r="N16" i="1"/>
  <c r="O16" i="1" s="1"/>
  <c r="L144" i="1"/>
  <c r="M144" i="1" s="1"/>
  <c r="L142" i="1"/>
  <c r="M142" i="1" s="1"/>
  <c r="R170" i="1"/>
  <c r="T17" i="1"/>
  <c r="T28" i="1" s="1"/>
  <c r="N170" i="1"/>
  <c r="O170" i="1" s="1"/>
  <c r="R16" i="1"/>
  <c r="R141" i="1"/>
  <c r="L46" i="1"/>
  <c r="M46" i="1" s="1"/>
  <c r="R80" i="1"/>
  <c r="P153" i="1"/>
  <c r="P172" i="1"/>
  <c r="R169" i="1"/>
  <c r="T153" i="1"/>
  <c r="R178" i="1"/>
  <c r="N74" i="1"/>
  <c r="O74" i="1" s="1"/>
  <c r="N169" i="1"/>
  <c r="O169" i="1" s="1"/>
  <c r="N178" i="1"/>
  <c r="O178" i="1" s="1"/>
  <c r="T172" i="1"/>
  <c r="P22" i="1"/>
  <c r="L22" i="1" s="1"/>
  <c r="M22" i="1" s="1"/>
  <c r="R129" i="1"/>
  <c r="R130" i="1" s="1"/>
  <c r="R36" i="1"/>
  <c r="P146" i="1"/>
  <c r="P119" i="1"/>
  <c r="R117" i="1"/>
  <c r="R119" i="1" s="1"/>
  <c r="T166" i="1"/>
  <c r="R133" i="1"/>
  <c r="R134" i="1" s="1"/>
  <c r="T119" i="1"/>
  <c r="T146" i="1"/>
  <c r="T130" i="1"/>
  <c r="P181" i="1"/>
  <c r="R181" i="1" s="1"/>
  <c r="R146" i="1"/>
  <c r="L66" i="1"/>
  <c r="M66" i="1" s="1"/>
  <c r="P134" i="1"/>
  <c r="N117" i="1"/>
  <c r="O117" i="1" s="1"/>
  <c r="S40" i="1"/>
  <c r="S64" i="1" s="1"/>
  <c r="P12" i="1"/>
  <c r="L12" i="1" s="1"/>
  <c r="P107" i="1"/>
  <c r="P114" i="1" s="1"/>
  <c r="P91" i="1"/>
  <c r="S122" i="1"/>
  <c r="R53" i="1"/>
  <c r="P33" i="1"/>
  <c r="L33" i="1" s="1"/>
  <c r="N141" i="1"/>
  <c r="O141" i="1" s="1"/>
  <c r="N153" i="1"/>
  <c r="O153" i="1" s="1"/>
  <c r="R38" i="1"/>
  <c r="T180" i="1"/>
  <c r="T54" i="1"/>
  <c r="N134" i="1"/>
  <c r="O134" i="1" s="1"/>
  <c r="P63" i="1"/>
  <c r="L95" i="1"/>
  <c r="M95" i="1" s="1"/>
  <c r="N61" i="1"/>
  <c r="O61" i="1" s="1"/>
  <c r="J184" i="1"/>
  <c r="K184" i="1" s="1"/>
  <c r="N172" i="1"/>
  <c r="O172" i="1" s="1"/>
  <c r="T106" i="1"/>
  <c r="R103" i="1"/>
  <c r="R106" i="1" s="1"/>
  <c r="K166" i="1"/>
  <c r="T91" i="1"/>
  <c r="T63" i="1"/>
  <c r="T69" i="1"/>
  <c r="J147" i="1"/>
  <c r="K147" i="1" s="1"/>
  <c r="J64" i="1"/>
  <c r="K64" i="1" s="1"/>
  <c r="L24" i="1"/>
  <c r="M24" i="1" s="1"/>
  <c r="N174" i="1"/>
  <c r="O174" i="1" s="1"/>
  <c r="P106" i="1"/>
  <c r="N138" i="1"/>
  <c r="O138" i="1" s="1"/>
  <c r="N150" i="1"/>
  <c r="O150" i="1" s="1"/>
  <c r="P21" i="1"/>
  <c r="L42" i="1"/>
  <c r="N42" i="1" s="1"/>
  <c r="O42" i="1" s="1"/>
  <c r="N156" i="1"/>
  <c r="O156" i="1" s="1"/>
  <c r="N9" i="1"/>
  <c r="O9" i="1" s="1"/>
  <c r="L18" i="1"/>
  <c r="N18" i="1" s="1"/>
  <c r="R35" i="1"/>
  <c r="R63" i="1"/>
  <c r="Q185" i="1"/>
  <c r="L25" i="1"/>
  <c r="N25" i="1" s="1"/>
  <c r="O25" i="1" s="1"/>
  <c r="N152" i="1"/>
  <c r="O152" i="1" s="1"/>
  <c r="N10" i="1"/>
  <c r="O10" i="1" s="1"/>
  <c r="L55" i="1"/>
  <c r="P27" i="1"/>
  <c r="L58" i="1"/>
  <c r="L59" i="1" s="1"/>
  <c r="M59" i="1" s="1"/>
  <c r="L56" i="1"/>
  <c r="M56" i="1" s="1"/>
  <c r="R164" i="1"/>
  <c r="N15" i="1"/>
  <c r="O15" i="1" s="1"/>
  <c r="R37" i="1"/>
  <c r="P141" i="1"/>
  <c r="L140" i="1"/>
  <c r="N13" i="1"/>
  <c r="O13" i="1" s="1"/>
  <c r="N139" i="1"/>
  <c r="O139" i="1" s="1"/>
  <c r="S28" i="1"/>
  <c r="R21" i="1"/>
  <c r="S184" i="1"/>
  <c r="R26" i="1"/>
  <c r="R27" i="1" s="1"/>
  <c r="L26" i="1"/>
  <c r="L49" i="1"/>
  <c r="R49" i="1"/>
  <c r="P59" i="1"/>
  <c r="P69" i="1"/>
  <c r="M70" i="1"/>
  <c r="N110" i="1"/>
  <c r="O110" i="1" s="1"/>
  <c r="R13" i="1"/>
  <c r="L68" i="1"/>
  <c r="R11" i="1"/>
  <c r="J28" i="1"/>
  <c r="K28" i="1" s="1"/>
  <c r="R69" i="1"/>
  <c r="L126" i="1"/>
  <c r="M126" i="1" s="1"/>
  <c r="R41" i="1"/>
  <c r="L41" i="1"/>
  <c r="R6" i="1"/>
  <c r="P130" i="1"/>
  <c r="N175" i="1"/>
  <c r="O175" i="1" s="1"/>
  <c r="R175" i="1"/>
  <c r="P54" i="1"/>
  <c r="L91" i="1"/>
  <c r="M91" i="1" s="1"/>
  <c r="L120" i="1"/>
  <c r="L121" i="1" s="1"/>
  <c r="P121" i="1"/>
  <c r="M118" i="1"/>
  <c r="N118" i="1"/>
  <c r="O118" i="1" s="1"/>
  <c r="R153" i="1"/>
  <c r="R34" i="1"/>
  <c r="M5" i="1"/>
  <c r="N5" i="1"/>
  <c r="O5" i="1" s="1"/>
  <c r="L179" i="1"/>
  <c r="R179" i="1"/>
  <c r="L173" i="1"/>
  <c r="M112" i="1"/>
  <c r="N112" i="1"/>
  <c r="O112" i="1" s="1"/>
  <c r="R29" i="1"/>
  <c r="R32" i="1" s="1"/>
  <c r="L29" i="1"/>
  <c r="M116" i="1"/>
  <c r="N116" i="1"/>
  <c r="O116" i="1" s="1"/>
  <c r="M36" i="1"/>
  <c r="N36" i="1"/>
  <c r="O36" i="1" s="1"/>
  <c r="M103" i="1"/>
  <c r="N103" i="1"/>
  <c r="O103" i="1" s="1"/>
  <c r="L163" i="1"/>
  <c r="R163" i="1"/>
  <c r="M131" i="1"/>
  <c r="N131" i="1"/>
  <c r="O131" i="1" s="1"/>
  <c r="M125" i="1"/>
  <c r="N125" i="1"/>
  <c r="O125" i="1" s="1"/>
  <c r="M154" i="1"/>
  <c r="N154" i="1"/>
  <c r="O154" i="1" s="1"/>
  <c r="N180" i="1"/>
  <c r="O180" i="1" s="1"/>
  <c r="K180" i="1"/>
  <c r="M149" i="1"/>
  <c r="N149" i="1"/>
  <c r="O149" i="1" s="1"/>
  <c r="M128" i="1"/>
  <c r="N128" i="1"/>
  <c r="O128" i="1" s="1"/>
  <c r="M161" i="1"/>
  <c r="N161" i="1"/>
  <c r="O161" i="1" s="1"/>
  <c r="L6" i="1"/>
  <c r="M6" i="1" s="1"/>
  <c r="M4" i="1"/>
  <c r="N4" i="1"/>
  <c r="M79" i="1"/>
  <c r="N79" i="1"/>
  <c r="O79" i="1" s="1"/>
  <c r="M123" i="1"/>
  <c r="N123" i="1"/>
  <c r="O123" i="1" s="1"/>
  <c r="M167" i="1"/>
  <c r="N167" i="1"/>
  <c r="O167" i="1" s="1"/>
  <c r="M133" i="1"/>
  <c r="N133" i="1"/>
  <c r="O133" i="1" s="1"/>
  <c r="M136" i="1"/>
  <c r="N136" i="1"/>
  <c r="O136" i="1" s="1"/>
  <c r="M80" i="1"/>
  <c r="N80" i="1"/>
  <c r="O80" i="1" s="1"/>
  <c r="M127" i="1"/>
  <c r="N127" i="1"/>
  <c r="O127" i="1" s="1"/>
  <c r="M34" i="1"/>
  <c r="N34" i="1"/>
  <c r="O34" i="1" s="1"/>
  <c r="M78" i="1"/>
  <c r="N78" i="1"/>
  <c r="O78" i="1" s="1"/>
  <c r="M35" i="1"/>
  <c r="N35" i="1"/>
  <c r="O35" i="1" s="1"/>
  <c r="M65" i="1"/>
  <c r="N65" i="1"/>
  <c r="P166" i="1"/>
  <c r="M158" i="1"/>
  <c r="N158" i="1"/>
  <c r="O158" i="1" s="1"/>
  <c r="M124" i="1"/>
  <c r="N124" i="1"/>
  <c r="O124" i="1" s="1"/>
  <c r="M52" i="1"/>
  <c r="N52" i="1"/>
  <c r="O52" i="1" s="1"/>
  <c r="M148" i="1"/>
  <c r="N148" i="1"/>
  <c r="O148" i="1" s="1"/>
  <c r="L63" i="1"/>
  <c r="M60" i="1"/>
  <c r="N60" i="1"/>
  <c r="M105" i="1"/>
  <c r="N105" i="1"/>
  <c r="O105" i="1" s="1"/>
  <c r="M38" i="1"/>
  <c r="N38" i="1"/>
  <c r="O38" i="1" s="1"/>
  <c r="M85" i="1"/>
  <c r="N85" i="1"/>
  <c r="O85" i="1" s="1"/>
  <c r="M53" i="1"/>
  <c r="N53" i="1"/>
  <c r="O53" i="1" s="1"/>
  <c r="M37" i="1"/>
  <c r="N37" i="1"/>
  <c r="O37" i="1" s="1"/>
  <c r="M132" i="1"/>
  <c r="N132" i="1"/>
  <c r="O132" i="1" s="1"/>
  <c r="M135" i="1"/>
  <c r="N135" i="1"/>
  <c r="O135" i="1" s="1"/>
  <c r="M129" i="1"/>
  <c r="N129" i="1"/>
  <c r="O129" i="1" s="1"/>
  <c r="J122" i="1"/>
  <c r="K122" i="1" s="1"/>
  <c r="M92" i="1"/>
  <c r="N92" i="1"/>
  <c r="M50" i="1"/>
  <c r="N50" i="1"/>
  <c r="O50" i="1" s="1"/>
  <c r="M115" i="1"/>
  <c r="L119" i="1"/>
  <c r="M119" i="1" s="1"/>
  <c r="N115" i="1"/>
  <c r="M164" i="1"/>
  <c r="N164" i="1"/>
  <c r="O164" i="1" s="1"/>
  <c r="M77" i="1"/>
  <c r="N77" i="1"/>
  <c r="O77" i="1" s="1"/>
  <c r="L162" i="1"/>
  <c r="R162" i="1"/>
  <c r="R183" i="1"/>
  <c r="O70" i="1"/>
  <c r="M157" i="1"/>
  <c r="N157" i="1"/>
  <c r="O157" i="1" s="1"/>
  <c r="M159" i="1"/>
  <c r="N159" i="1"/>
  <c r="O159" i="1" s="1"/>
  <c r="M31" i="1"/>
  <c r="N31" i="1"/>
  <c r="O31" i="1" s="1"/>
  <c r="M160" i="1"/>
  <c r="N160" i="1"/>
  <c r="O160" i="1" s="1"/>
  <c r="N151" i="1" l="1"/>
  <c r="O151" i="1" s="1"/>
  <c r="P11" i="1"/>
  <c r="L7" i="1"/>
  <c r="M7" i="1" s="1"/>
  <c r="R165" i="1"/>
  <c r="R172" i="1"/>
  <c r="R177" i="1"/>
  <c r="R180" i="1" s="1"/>
  <c r="P180" i="1"/>
  <c r="R22" i="1"/>
  <c r="R23" i="1" s="1"/>
  <c r="P23" i="1"/>
  <c r="L69" i="1"/>
  <c r="M69" i="1" s="1"/>
  <c r="T64" i="1"/>
  <c r="R91" i="1"/>
  <c r="T147" i="1"/>
  <c r="N66" i="1"/>
  <c r="O66" i="1" s="1"/>
  <c r="N46" i="1"/>
  <c r="O46" i="1" s="1"/>
  <c r="N22" i="1"/>
  <c r="O22" i="1" s="1"/>
  <c r="P17" i="1"/>
  <c r="N39" i="1"/>
  <c r="O39" i="1" s="1"/>
  <c r="T184" i="1"/>
  <c r="N95" i="1"/>
  <c r="O95" i="1" s="1"/>
  <c r="N142" i="1"/>
  <c r="O142" i="1" s="1"/>
  <c r="L181" i="1"/>
  <c r="M181" i="1" s="1"/>
  <c r="L106" i="1"/>
  <c r="M106" i="1" s="1"/>
  <c r="R33" i="1"/>
  <c r="R40" i="1" s="1"/>
  <c r="P40" i="1"/>
  <c r="R12" i="1"/>
  <c r="R17" i="1" s="1"/>
  <c r="N144" i="1"/>
  <c r="O144" i="1" s="1"/>
  <c r="L23" i="1"/>
  <c r="M23" i="1" s="1"/>
  <c r="N147" i="1"/>
  <c r="O147" i="1" s="1"/>
  <c r="P183" i="1"/>
  <c r="L107" i="1"/>
  <c r="L114" i="1" s="1"/>
  <c r="M114" i="1" s="1"/>
  <c r="T122" i="1"/>
  <c r="R107" i="1"/>
  <c r="R114" i="1" s="1"/>
  <c r="R122" i="1" s="1"/>
  <c r="P147" i="1"/>
  <c r="R54" i="1"/>
  <c r="M25" i="1"/>
  <c r="N24" i="1"/>
  <c r="O24" i="1" s="1"/>
  <c r="N120" i="1"/>
  <c r="O120" i="1" s="1"/>
  <c r="L21" i="1"/>
  <c r="M21" i="1" s="1"/>
  <c r="M42" i="1"/>
  <c r="L27" i="1"/>
  <c r="M27" i="1" s="1"/>
  <c r="S185" i="1"/>
  <c r="C187" i="1" s="1"/>
  <c r="C188" i="1" s="1"/>
  <c r="N58" i="1"/>
  <c r="N59" i="1" s="1"/>
  <c r="O59" i="1" s="1"/>
  <c r="M18" i="1"/>
  <c r="L57" i="1"/>
  <c r="M57" i="1" s="1"/>
  <c r="N126" i="1"/>
  <c r="O126" i="1" s="1"/>
  <c r="M58" i="1"/>
  <c r="N56" i="1"/>
  <c r="O56" i="1" s="1"/>
  <c r="N55" i="1"/>
  <c r="O55" i="1" s="1"/>
  <c r="M55" i="1"/>
  <c r="P122" i="1"/>
  <c r="L54" i="1"/>
  <c r="M54" i="1" s="1"/>
  <c r="M140" i="1"/>
  <c r="N140" i="1"/>
  <c r="O140" i="1" s="1"/>
  <c r="R166" i="1"/>
  <c r="N181" i="1"/>
  <c r="O181" i="1" s="1"/>
  <c r="M26" i="1"/>
  <c r="N26" i="1"/>
  <c r="O26" i="1" s="1"/>
  <c r="M68" i="1"/>
  <c r="N68" i="1"/>
  <c r="O68" i="1" s="1"/>
  <c r="M120" i="1"/>
  <c r="R147" i="1"/>
  <c r="M49" i="1"/>
  <c r="N49" i="1"/>
  <c r="O49" i="1" s="1"/>
  <c r="M41" i="1"/>
  <c r="N41" i="1"/>
  <c r="O41" i="1" s="1"/>
  <c r="P64" i="1"/>
  <c r="M177" i="1"/>
  <c r="N177" i="1"/>
  <c r="O177" i="1" s="1"/>
  <c r="N91" i="1"/>
  <c r="O91" i="1" s="1"/>
  <c r="M173" i="1"/>
  <c r="N173" i="1"/>
  <c r="O173" i="1" s="1"/>
  <c r="N184" i="1"/>
  <c r="O184" i="1" s="1"/>
  <c r="L32" i="1"/>
  <c r="M32" i="1" s="1"/>
  <c r="M29" i="1"/>
  <c r="N29" i="1"/>
  <c r="O29" i="1" s="1"/>
  <c r="N12" i="1"/>
  <c r="L17" i="1"/>
  <c r="M17" i="1" s="1"/>
  <c r="M12" i="1"/>
  <c r="M179" i="1"/>
  <c r="N179" i="1"/>
  <c r="O179" i="1" s="1"/>
  <c r="M162" i="1"/>
  <c r="N162" i="1"/>
  <c r="O162" i="1" s="1"/>
  <c r="M163" i="1"/>
  <c r="N163" i="1"/>
  <c r="O163" i="1" s="1"/>
  <c r="J185" i="1"/>
  <c r="K185" i="1" s="1"/>
  <c r="M63" i="1"/>
  <c r="N119" i="1"/>
  <c r="O119" i="1" s="1"/>
  <c r="O115" i="1"/>
  <c r="M121" i="1"/>
  <c r="M165" i="1"/>
  <c r="N165" i="1"/>
  <c r="O165" i="1" s="1"/>
  <c r="N21" i="1"/>
  <c r="O21" i="1" s="1"/>
  <c r="O18" i="1"/>
  <c r="N63" i="1"/>
  <c r="O60" i="1"/>
  <c r="N6" i="1"/>
  <c r="O6" i="1" s="1"/>
  <c r="O4" i="1"/>
  <c r="N106" i="1"/>
  <c r="O106" i="1" s="1"/>
  <c r="O92" i="1"/>
  <c r="O65" i="1"/>
  <c r="L40" i="1"/>
  <c r="M40" i="1" s="1"/>
  <c r="M33" i="1"/>
  <c r="N33" i="1"/>
  <c r="N23" i="1" l="1"/>
  <c r="O23" i="1" s="1"/>
  <c r="R28" i="1"/>
  <c r="L11" i="1"/>
  <c r="M11" i="1" s="1"/>
  <c r="P28" i="1"/>
  <c r="N7" i="1"/>
  <c r="O7" i="1" s="1"/>
  <c r="P184" i="1"/>
  <c r="P185" i="1" s="1"/>
  <c r="L184" i="1"/>
  <c r="M184" i="1" s="1"/>
  <c r="T185" i="1"/>
  <c r="N107" i="1"/>
  <c r="O107" i="1" s="1"/>
  <c r="N121" i="1"/>
  <c r="O121" i="1" s="1"/>
  <c r="R64" i="1"/>
  <c r="L122" i="1"/>
  <c r="M122" i="1" s="1"/>
  <c r="M107" i="1"/>
  <c r="O58" i="1"/>
  <c r="R184" i="1"/>
  <c r="N27" i="1"/>
  <c r="O27" i="1" s="1"/>
  <c r="N57" i="1"/>
  <c r="O57" i="1" s="1"/>
  <c r="N54" i="1"/>
  <c r="O54" i="1" s="1"/>
  <c r="N69" i="1"/>
  <c r="O69" i="1" s="1"/>
  <c r="N32" i="1"/>
  <c r="O32" i="1" s="1"/>
  <c r="O12" i="1"/>
  <c r="N17" i="1"/>
  <c r="O17" i="1" s="1"/>
  <c r="O63" i="1"/>
  <c r="L64" i="1"/>
  <c r="M64" i="1" s="1"/>
  <c r="O33" i="1"/>
  <c r="N40" i="1"/>
  <c r="O40" i="1" s="1"/>
  <c r="N11" i="1" l="1"/>
  <c r="O11" i="1" s="1"/>
  <c r="L28" i="1"/>
  <c r="M28" i="1" s="1"/>
  <c r="N114" i="1"/>
  <c r="O114" i="1" s="1"/>
  <c r="R185" i="1"/>
  <c r="N64" i="1"/>
  <c r="O64" i="1" s="1"/>
  <c r="N28" i="1" l="1"/>
  <c r="O28" i="1" s="1"/>
  <c r="N122" i="1"/>
  <c r="O122" i="1" s="1"/>
  <c r="L185" i="1"/>
  <c r="M185" i="1" s="1"/>
  <c r="N185" i="1"/>
  <c r="O185" i="1" s="1"/>
</calcChain>
</file>

<file path=xl/sharedStrings.xml><?xml version="1.0" encoding="utf-8"?>
<sst xmlns="http://schemas.openxmlformats.org/spreadsheetml/2006/main" count="64" uniqueCount="64">
  <si>
    <t>INFORME AVANCE PDI 2021 TRIMESTRE 2-2021</t>
  </si>
  <si>
    <t>SUBSISTEMA</t>
  </si>
  <si>
    <t>PROYECTOS</t>
  </si>
  <si>
    <t>UNIDAD DE MEDIDA</t>
  </si>
  <si>
    <t>LINEA BASE
2019</t>
  </si>
  <si>
    <t>META 2024</t>
  </si>
  <si>
    <t>ACUMULADO
META PLAN INDICATIVO
2020 2021</t>
  </si>
  <si>
    <t>ACUMULADO META LOGRADA
2020 T2 2021</t>
  </si>
  <si>
    <t>INDICADOR DE EFICACIA
(METAS LOGRADAS / METAS PROYECTADAS)</t>
  </si>
  <si>
    <t>INDICADOR DE EFICIENCIA
(REC.EJEC. /REC. PROYEC.)</t>
  </si>
  <si>
    <t>INDICADOR DE EFECTIVIDAD
(EFICACIA * EFICIENCIA)</t>
  </si>
  <si>
    <t>RECURSOS EN MILLONES DE $ DE 2019</t>
  </si>
  <si>
    <t>PROYECTADOS  2020 + 2021</t>
  </si>
  <si>
    <t xml:space="preserve">DIFERENCIA </t>
  </si>
  <si>
    <t>2021-1</t>
  </si>
  <si>
    <t>FORMACIÓN</t>
  </si>
  <si>
    <t>TOTAL PROYECTO SF-PY.1 Identidad con la Teolología y gobierno Institucional</t>
  </si>
  <si>
    <t xml:space="preserve">TOTAL PROYECTO SF-PY.2 Oferta Académica </t>
  </si>
  <si>
    <t>TOTAL PROYECTO SF-PY.3 Desarrollo Profesoral</t>
  </si>
  <si>
    <t>TOTAL PROYECTO SF-PY.4 Autoevaluación y Acreditación Académico e Institucional</t>
  </si>
  <si>
    <t>TOTAL PROYECTO SF-PY.5 Relevo Generacional con Excelencia Académica.</t>
  </si>
  <si>
    <t>TOTAL PROYECTO SF-PY.6 Fortalecimiento de los Vínculos Universidad - Graduados</t>
  </si>
  <si>
    <t>TOTAL SUBSISTEMA FORMACIÓN</t>
  </si>
  <si>
    <t>INVESTIGACIÓN</t>
  </si>
  <si>
    <t>TOTAL SI-PY.1 Formación en Investigación</t>
  </si>
  <si>
    <t>TOTAL SI-PY.2 Desarrollo proyectos Internos de investigación</t>
  </si>
  <si>
    <t xml:space="preserve">TOTAL SI-PY.3 Fortalecimiento de  las capacidades investigativas </t>
  </si>
  <si>
    <t>TOTAL SI-PY.4 Propiedad Intelectual</t>
  </si>
  <si>
    <t>TOTAL SI-PY.5 Proyectos de investigación a través de Convenios</t>
  </si>
  <si>
    <t>TOTAL SI-PY.6 Fortalecimiento de procesos Editoriales Institucionales</t>
  </si>
  <si>
    <t>TOTAL SUBSISTEMA INVESTIGACIÓN</t>
  </si>
  <si>
    <t>PROYECCIÓN SOCIAL</t>
  </si>
  <si>
    <t>TOTAL SP-PY.1 Internacionalización académico-investigativa y de la extensión</t>
  </si>
  <si>
    <t>TOTAL SP-PY.2Estructuración y Desarrollo de las unidades de atención especializada de la Universidad Surcolombiana.</t>
  </si>
  <si>
    <t>TOTAL SP-PY.3 Reformulación y fortalecimiento de las modalidades y formas de Proyección Social.</t>
  </si>
  <si>
    <t>TOTAL SP-PY.4 Comunicación estratégica e imagen institucional</t>
  </si>
  <si>
    <t>TOTAL SP-PY.5 Estructuración y desarrollo de la agenda social regional</t>
  </si>
  <si>
    <t>TOTAL SP-PY.6 Regionalización</t>
  </si>
  <si>
    <t>TOTAL SUBSISTEMA PROYECCIÓN SOCIAL</t>
  </si>
  <si>
    <t>BIENESTAR</t>
  </si>
  <si>
    <t>TOTAL SB-PY.1 Universidad saludable</t>
  </si>
  <si>
    <t>TOTAL SB-PY.2 Actividad física, deporte y recreación</t>
  </si>
  <si>
    <t>TOTAL SB-PY.3 Cultura con responsabilidad y compromiso</t>
  </si>
  <si>
    <t>TOTAL SB-PY.4 Desarrollo humano.</t>
  </si>
  <si>
    <t>TOTAL SB-PY.5 Fomento a la permanencia y graduación.</t>
  </si>
  <si>
    <t>TOTAL SUBSISTEMA BIENESTAR</t>
  </si>
  <si>
    <t>ADMINISTRATIVO</t>
  </si>
  <si>
    <t>TOTAL SA-PY.1 Desarrollo Planta Fisica</t>
  </si>
  <si>
    <t>TOTAL SA-PY.2 Dotación de Equipos y muebles</t>
  </si>
  <si>
    <t>TOTAL SA-PY.3 Desarrollo tecnológico</t>
  </si>
  <si>
    <t>TOTAL SA-PY.4 Fortalecimiento de los sistemas de gestión</t>
  </si>
  <si>
    <t>TOTAL SA-PY.5 Formación y Capacitación del Personal Administrativo y Operativo</t>
  </si>
  <si>
    <t>TOTAL SUBSISTEMA ADMINISTRATIVO</t>
  </si>
  <si>
    <t>EJECUTADO 2020</t>
  </si>
  <si>
    <t>Oficina Asesora de Planeación</t>
  </si>
  <si>
    <t>Indices series de empalme - Dane</t>
  </si>
  <si>
    <t>EJECUTADO 2021</t>
  </si>
  <si>
    <t>Dic. 2019</t>
  </si>
  <si>
    <t>TOTAL ACUMULADO</t>
  </si>
  <si>
    <t>EJECUCIÓN ACUMULADA FIN T2 2021</t>
  </si>
  <si>
    <t>EJECUTADO RP T2 DE 2021</t>
  </si>
  <si>
    <t>EJECUCIÓN ACUMULADA T1 2021</t>
  </si>
  <si>
    <t>TOTAL PDI T2 2021</t>
  </si>
  <si>
    <t>META PDI 2020/2021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</si>
</sst>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2" formatCode="_-&quot;$&quot;\ * #,##0_-;\-&quot;$&quot;\ * #,##0_-;_-&quot;$&quot;\ * &quot;-&quot;_-;_-@_-"/>
    <numFmt numFmtId="164" formatCode="&quot;$&quot;\ * #,##0_);[Red]\(&quot;$&quot;\ * #,##0\)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36"/>
      <color rgb="FFFFCC66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rgb="FFC14364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rgb="FFFFF6D7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1">
    <xf numFmtId="0" fontId="0" fillId="0" borderId="0" xfId="0"/>
    <xf numFmtId="0" fontId="2" fillId="4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6" borderId="9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1" fontId="0" fillId="0" borderId="1" xfId="0" applyNumberFormat="1" applyFont="1" applyFill="1" applyBorder="1" applyAlignment="1">
      <alignment horizontal="center" vertical="center" wrapText="1"/>
    </xf>
    <xf numFmtId="10" fontId="1" fillId="0" borderId="1" xfId="1" applyNumberFormat="1" applyFont="1" applyFill="1" applyBorder="1" applyAlignment="1">
      <alignment horizontal="center" vertical="center"/>
    </xf>
    <xf numFmtId="10" fontId="0" fillId="0" borderId="1" xfId="0" applyNumberFormat="1" applyBorder="1" applyAlignment="1">
      <alignment horizontal="center" vertical="center"/>
    </xf>
    <xf numFmtId="164" fontId="0" fillId="0" borderId="1" xfId="0" applyNumberFormat="1" applyFont="1" applyFill="1" applyBorder="1" applyAlignment="1">
      <alignment vertical="center"/>
    </xf>
    <xf numFmtId="42" fontId="0" fillId="0" borderId="0" xfId="0" applyNumberFormat="1" applyFill="1" applyAlignment="1">
      <alignment vertical="center"/>
    </xf>
    <xf numFmtId="0" fontId="0" fillId="0" borderId="0" xfId="0" applyFill="1"/>
    <xf numFmtId="0" fontId="2" fillId="8" borderId="1" xfId="0" applyFont="1" applyFill="1" applyBorder="1" applyAlignment="1">
      <alignment horizontal="center" vertical="center" wrapText="1"/>
    </xf>
    <xf numFmtId="10" fontId="2" fillId="8" borderId="1" xfId="1" applyNumberFormat="1" applyFont="1" applyFill="1" applyBorder="1" applyAlignment="1">
      <alignment horizontal="center" vertical="center"/>
    </xf>
    <xf numFmtId="164" fontId="2" fillId="8" borderId="1" xfId="0" applyNumberFormat="1" applyFont="1" applyFill="1" applyBorder="1" applyAlignment="1">
      <alignment vertical="center"/>
    </xf>
    <xf numFmtId="1" fontId="0" fillId="0" borderId="0" xfId="0" applyNumberFormat="1"/>
    <xf numFmtId="1" fontId="0" fillId="0" borderId="12" xfId="0" applyNumberFormat="1" applyFont="1" applyFill="1" applyBorder="1" applyAlignment="1">
      <alignment horizontal="center" vertical="center" wrapText="1"/>
    </xf>
    <xf numFmtId="0" fontId="0" fillId="0" borderId="12" xfId="0" applyFont="1" applyFill="1" applyBorder="1" applyAlignment="1">
      <alignment horizontal="center" vertical="center" wrapText="1"/>
    </xf>
    <xf numFmtId="0" fontId="0" fillId="0" borderId="11" xfId="0" applyFont="1" applyFill="1" applyBorder="1" applyAlignment="1">
      <alignment horizontal="center" vertical="center" wrapText="1"/>
    </xf>
    <xf numFmtId="10" fontId="1" fillId="0" borderId="12" xfId="1" applyNumberFormat="1" applyFont="1" applyFill="1" applyBorder="1" applyAlignment="1">
      <alignment horizontal="center" vertical="center"/>
    </xf>
    <xf numFmtId="10" fontId="0" fillId="0" borderId="12" xfId="0" applyNumberFormat="1" applyBorder="1" applyAlignment="1">
      <alignment horizontal="center" vertical="center"/>
    </xf>
    <xf numFmtId="164" fontId="0" fillId="0" borderId="12" xfId="0" applyNumberFormat="1" applyFont="1" applyFill="1" applyBorder="1" applyAlignment="1">
      <alignment vertical="center"/>
    </xf>
    <xf numFmtId="0" fontId="0" fillId="0" borderId="10" xfId="0" applyFont="1" applyFill="1" applyBorder="1" applyAlignment="1">
      <alignment horizontal="center" vertical="center" wrapText="1"/>
    </xf>
    <xf numFmtId="0" fontId="2" fillId="8" borderId="10" xfId="0" applyFont="1" applyFill="1" applyBorder="1" applyAlignment="1">
      <alignment horizontal="center" vertical="center" wrapText="1"/>
    </xf>
    <xf numFmtId="10" fontId="2" fillId="8" borderId="13" xfId="1" applyNumberFormat="1" applyFont="1" applyFill="1" applyBorder="1" applyAlignment="1">
      <alignment horizontal="center" vertical="center"/>
    </xf>
    <xf numFmtId="2" fontId="0" fillId="0" borderId="1" xfId="0" applyNumberFormat="1" applyFont="1" applyFill="1" applyBorder="1" applyAlignment="1">
      <alignment horizontal="center" vertical="center" wrapText="1"/>
    </xf>
    <xf numFmtId="0" fontId="2" fillId="9" borderId="1" xfId="0" applyFont="1" applyFill="1" applyBorder="1" applyAlignment="1">
      <alignment vertical="center"/>
    </xf>
    <xf numFmtId="0" fontId="2" fillId="9" borderId="1" xfId="0" applyFont="1" applyFill="1" applyBorder="1" applyAlignment="1">
      <alignment horizontal="center" vertical="center"/>
    </xf>
    <xf numFmtId="10" fontId="2" fillId="9" borderId="1" xfId="1" applyNumberFormat="1" applyFont="1" applyFill="1" applyBorder="1" applyAlignment="1">
      <alignment horizontal="center" vertical="center"/>
    </xf>
    <xf numFmtId="164" fontId="2" fillId="10" borderId="1" xfId="0" applyNumberFormat="1" applyFont="1" applyFill="1" applyBorder="1" applyAlignment="1">
      <alignment vertical="center"/>
    </xf>
    <xf numFmtId="0" fontId="0" fillId="0" borderId="10" xfId="0" applyFont="1" applyFill="1" applyBorder="1" applyAlignment="1">
      <alignment horizontal="center" vertical="center"/>
    </xf>
    <xf numFmtId="164" fontId="2" fillId="0" borderId="1" xfId="0" applyNumberFormat="1" applyFont="1" applyFill="1" applyBorder="1" applyAlignment="1">
      <alignment vertical="center"/>
    </xf>
    <xf numFmtId="2" fontId="0" fillId="0" borderId="10" xfId="0" applyNumberFormat="1" applyFont="1" applyFill="1" applyBorder="1" applyAlignment="1">
      <alignment horizontal="center" vertical="center" wrapText="1"/>
    </xf>
    <xf numFmtId="1" fontId="0" fillId="0" borderId="10" xfId="0" applyNumberFormat="1" applyFont="1" applyFill="1" applyBorder="1" applyAlignment="1">
      <alignment horizontal="center" vertical="center" wrapText="1"/>
    </xf>
    <xf numFmtId="0" fontId="2" fillId="9" borderId="1" xfId="0" applyFont="1" applyFill="1" applyBorder="1" applyAlignment="1"/>
    <xf numFmtId="1" fontId="0" fillId="0" borderId="10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vertical="center"/>
    </xf>
    <xf numFmtId="0" fontId="0" fillId="0" borderId="1" xfId="0" applyFill="1" applyBorder="1" applyAlignment="1">
      <alignment horizontal="center" vertical="center"/>
    </xf>
    <xf numFmtId="1" fontId="2" fillId="8" borderId="10" xfId="0" applyNumberFormat="1" applyFont="1" applyFill="1" applyBorder="1" applyAlignment="1">
      <alignment horizontal="center" vertical="center" wrapText="1"/>
    </xf>
    <xf numFmtId="0" fontId="3" fillId="0" borderId="0" xfId="0" applyFont="1"/>
    <xf numFmtId="164" fontId="3" fillId="0" borderId="0" xfId="0" applyNumberFormat="1" applyFont="1"/>
    <xf numFmtId="0" fontId="0" fillId="0" borderId="0" xfId="0" applyAlignment="1">
      <alignment horizontal="center"/>
    </xf>
    <xf numFmtId="0" fontId="6" fillId="0" borderId="0" xfId="0" applyFont="1"/>
    <xf numFmtId="0" fontId="7" fillId="0" borderId="0" xfId="0" applyFont="1"/>
    <xf numFmtId="2" fontId="7" fillId="0" borderId="0" xfId="0" applyNumberFormat="1" applyFont="1"/>
    <xf numFmtId="17" fontId="7" fillId="0" borderId="0" xfId="0" applyNumberFormat="1" applyFont="1" applyAlignment="1">
      <alignment horizontal="left"/>
    </xf>
    <xf numFmtId="42" fontId="0" fillId="0" borderId="0" xfId="0" applyNumberFormat="1"/>
    <xf numFmtId="164" fontId="0" fillId="0" borderId="0" xfId="0" applyNumberFormat="1"/>
    <xf numFmtId="0" fontId="2" fillId="3" borderId="2" xfId="0" applyFont="1" applyFill="1" applyBorder="1" applyAlignment="1">
      <alignment vertical="center" wrapText="1"/>
    </xf>
    <xf numFmtId="0" fontId="2" fillId="3" borderId="3" xfId="0" applyFont="1" applyFill="1" applyBorder="1" applyAlignment="1">
      <alignment vertical="center" wrapText="1"/>
    </xf>
    <xf numFmtId="0" fontId="2" fillId="9" borderId="1" xfId="0" applyFont="1" applyFill="1" applyBorder="1" applyAlignment="1">
      <alignment horizontal="center" vertical="center"/>
    </xf>
    <xf numFmtId="0" fontId="2" fillId="9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left" vertical="center" wrapText="1"/>
    </xf>
    <xf numFmtId="0" fontId="2" fillId="8" borderId="1" xfId="0" applyFont="1" applyFill="1" applyBorder="1" applyAlignment="1">
      <alignment horizontal="center" vertical="center" wrapText="1"/>
    </xf>
    <xf numFmtId="0" fontId="5" fillId="14" borderId="1" xfId="0" applyFont="1" applyFill="1" applyBorder="1" applyAlignment="1">
      <alignment horizontal="center" vertical="center" textRotation="255" wrapText="1"/>
    </xf>
    <xf numFmtId="0" fontId="5" fillId="13" borderId="10" xfId="0" applyFont="1" applyFill="1" applyBorder="1" applyAlignment="1">
      <alignment horizontal="center" vertical="center" textRotation="255" wrapText="1"/>
    </xf>
    <xf numFmtId="0" fontId="5" fillId="13" borderId="11" xfId="0" applyFont="1" applyFill="1" applyBorder="1" applyAlignment="1">
      <alignment horizontal="center" vertical="center" textRotation="255" wrapText="1"/>
    </xf>
    <xf numFmtId="0" fontId="5" fillId="13" borderId="12" xfId="0" applyFont="1" applyFill="1" applyBorder="1" applyAlignment="1">
      <alignment horizontal="center" vertical="center" textRotation="255" wrapText="1"/>
    </xf>
    <xf numFmtId="0" fontId="5" fillId="12" borderId="10" xfId="0" applyFont="1" applyFill="1" applyBorder="1" applyAlignment="1">
      <alignment horizontal="center" vertical="center" textRotation="255" wrapText="1"/>
    </xf>
    <xf numFmtId="0" fontId="5" fillId="12" borderId="11" xfId="0" applyFont="1" applyFill="1" applyBorder="1" applyAlignment="1">
      <alignment horizontal="center" vertical="center" textRotation="255" wrapText="1"/>
    </xf>
    <xf numFmtId="0" fontId="5" fillId="12" borderId="12" xfId="0" applyFont="1" applyFill="1" applyBorder="1" applyAlignment="1">
      <alignment horizontal="center" vertical="center" textRotation="255" wrapText="1"/>
    </xf>
    <xf numFmtId="0" fontId="2" fillId="11" borderId="10" xfId="0" applyFont="1" applyFill="1" applyBorder="1" applyAlignment="1">
      <alignment horizontal="center" vertical="center" textRotation="255" wrapText="1"/>
    </xf>
    <xf numFmtId="0" fontId="2" fillId="11" borderId="11" xfId="0" applyFont="1" applyFill="1" applyBorder="1" applyAlignment="1">
      <alignment horizontal="center" vertical="center" textRotation="255" wrapText="1"/>
    </xf>
    <xf numFmtId="0" fontId="2" fillId="11" borderId="12" xfId="0" applyFont="1" applyFill="1" applyBorder="1" applyAlignment="1">
      <alignment horizontal="center" vertical="center" textRotation="255" wrapText="1"/>
    </xf>
    <xf numFmtId="0" fontId="2" fillId="4" borderId="4" xfId="0" applyFont="1" applyFill="1" applyBorder="1" applyAlignment="1">
      <alignment horizontal="center" vertical="center" wrapText="1"/>
    </xf>
    <xf numFmtId="0" fontId="2" fillId="4" borderId="5" xfId="0" applyFont="1" applyFill="1" applyBorder="1" applyAlignment="1">
      <alignment horizontal="center" vertical="center" wrapText="1"/>
    </xf>
    <xf numFmtId="0" fontId="2" fillId="4" borderId="6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 wrapText="1"/>
    </xf>
    <xf numFmtId="0" fontId="2" fillId="7" borderId="10" xfId="0" applyFont="1" applyFill="1" applyBorder="1" applyAlignment="1">
      <alignment horizontal="center" vertical="center" textRotation="255" wrapText="1"/>
    </xf>
    <xf numFmtId="0" fontId="2" fillId="7" borderId="11" xfId="0" applyFont="1" applyFill="1" applyBorder="1" applyAlignment="1">
      <alignment horizontal="center" vertical="center" textRotation="255" wrapText="1"/>
    </xf>
    <xf numFmtId="0" fontId="2" fillId="7" borderId="12" xfId="0" applyFont="1" applyFill="1" applyBorder="1" applyAlignment="1">
      <alignment horizontal="center" vertical="center" textRotation="255" wrapText="1"/>
    </xf>
    <xf numFmtId="0" fontId="0" fillId="0" borderId="12" xfId="0" applyFont="1" applyFill="1" applyBorder="1" applyAlignment="1">
      <alignment horizontal="left" vertical="center" wrapText="1"/>
    </xf>
    <xf numFmtId="0" fontId="4" fillId="2" borderId="0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2" fillId="4" borderId="7" xfId="0" applyFont="1" applyFill="1" applyBorder="1" applyAlignment="1">
      <alignment horizontal="center" vertical="center" wrapText="1"/>
    </xf>
    <xf numFmtId="0" fontId="2" fillId="4" borderId="3" xfId="0" applyFont="1" applyFill="1" applyBorder="1" applyAlignment="1">
      <alignment horizontal="center" vertical="center" wrapText="1"/>
    </xf>
    <xf numFmtId="0" fontId="2" fillId="4" borderId="8" xfId="0" applyFont="1" applyFill="1" applyBorder="1" applyAlignment="1">
      <alignment horizontal="center" vertical="center" wrapText="1"/>
    </xf>
  </cellXfs>
  <cellStyles count="2">
    <cellStyle name="Normal" xfId="0" builtinId="0"/>
    <cellStyle name="Porcentaje" xfId="1" builtinId="5"/>
  </cellStyles>
  <dxfs count="462"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</font>
    </dxf>
    <dxf>
      <font>
        <b/>
        <i val="0"/>
        <color auto="1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ill>
        <patternFill>
          <bgColor rgb="FFFF0000"/>
        </patternFill>
      </fill>
    </dxf>
    <dxf>
      <font>
        <b/>
        <i val="0"/>
        <strike val="0"/>
        <color theme="0"/>
      </font>
      <fill>
        <patternFill>
          <bgColor rgb="FF7030A0"/>
        </patternFill>
      </fill>
    </dxf>
    <dxf>
      <font>
        <b/>
        <i val="0"/>
      </font>
      <fill>
        <patternFill>
          <bgColor rgb="FFFF3300"/>
        </patternFill>
      </fill>
    </dxf>
    <dxf>
      <font>
        <b/>
        <i val="0"/>
        <color auto="1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</font>
    </dxf>
    <dxf>
      <font>
        <b/>
        <i val="0"/>
        <color auto="1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ill>
        <patternFill>
          <bgColor rgb="FFFF0000"/>
        </patternFill>
      </fill>
    </dxf>
    <dxf>
      <font>
        <b/>
        <i val="0"/>
        <strike val="0"/>
        <color theme="0"/>
      </font>
      <fill>
        <patternFill>
          <bgColor rgb="FF7030A0"/>
        </patternFill>
      </fill>
    </dxf>
    <dxf>
      <font>
        <b/>
        <i val="0"/>
      </font>
      <fill>
        <patternFill>
          <bgColor rgb="FFFF3300"/>
        </patternFill>
      </fill>
    </dxf>
    <dxf>
      <font>
        <b/>
        <i val="0"/>
        <color auto="1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</font>
    </dxf>
    <dxf>
      <font>
        <b/>
        <i val="0"/>
        <color auto="1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ill>
        <patternFill>
          <bgColor rgb="FFFF0000"/>
        </patternFill>
      </fill>
    </dxf>
    <dxf>
      <font>
        <b/>
        <i val="0"/>
        <strike val="0"/>
        <color theme="0"/>
      </font>
      <fill>
        <patternFill>
          <bgColor rgb="FF7030A0"/>
        </patternFill>
      </fill>
    </dxf>
    <dxf>
      <font>
        <b/>
        <i val="0"/>
      </font>
      <fill>
        <patternFill>
          <bgColor rgb="FFFF3300"/>
        </patternFill>
      </fill>
    </dxf>
    <dxf>
      <font>
        <b/>
        <i val="0"/>
        <color auto="1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TRIMESTRE%202%202021\TRIMESTRE%202%202021\SEGUIMIENTO%20PDI%20T2%20202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PLANEACI&#211;N%20USCO\PDI\PDI%202015%202024\PDI%202020%202024\2020\SEGUIMIENTO%20Y%20EVALUACI&#211;N%20PDI%202020\TRIMESTRE%204%202020\SEGUIMIENTO%20Y%20EVALUACI&#211;N%20PDI%20T4%202020%20AJUSTADO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PLANEACI&#211;N%20USCO\PDI\PDI%202015%202024\PDI%202020%202024\EVALUACI&#211;N%20AVANCE%20PDI%202020%20A%20JUNIO%202021\SEGUIMIENTO%20Y%20EVALUACI&#211;N%20PDI%20T1%202021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PLANEACI&#211;N%20USCO\PDI\PDI%202015%202024\PDI%202020%202024\2020\SEGUIMIENTO%20Y%20EVALUACI&#211;N%20PDI%202020\TRIMESTRE%204%202020\SEGUIMIENTO%20Y%20EVALUACI&#211;N%20PDI%20T4%202020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PLANEACI&#211;N%20USCO\PDI\PDI%202015%202024\PDI%202020%202024\2021\SEGUIMIENTO%20Y%20EVALUACI&#211;N%20PDI%202021\EVALUACIONES%20PLAN%20DE%20ACCI&#211;N%202021\TRIMESTRE%201%202021\SEGUIMIENTO%20PDI%20T1%2020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2-2021"/>
      <sheetName val="T2-2021 ACC"/>
      <sheetName val="EV.PROYECTOS"/>
      <sheetName val="EV.ACCIONES.aux"/>
      <sheetName val="Indices IPC"/>
      <sheetName val="SF"/>
      <sheetName val="SI"/>
      <sheetName val="SP"/>
      <sheetName val="SB"/>
      <sheetName val="SA"/>
      <sheetName val="T2-2021 SI"/>
      <sheetName val="METAS SI"/>
      <sheetName val="T2-2021 SF"/>
      <sheetName val="METAS SF"/>
      <sheetName val="T2-2021 SP"/>
      <sheetName val="METAS SP"/>
      <sheetName val="EJECUCION PLAN DE ACCION"/>
      <sheetName val="T2-2021 SB"/>
      <sheetName val="METAS SB"/>
      <sheetName val="T2 2021 SA"/>
      <sheetName val="METAS SA"/>
    </sheetNames>
    <sheetDataSet>
      <sheetData sheetId="0" refreshError="1"/>
      <sheetData sheetId="1" refreshError="1"/>
      <sheetData sheetId="2">
        <row r="14">
          <cell r="E14">
            <v>106000000</v>
          </cell>
          <cell r="H14">
            <v>26317494</v>
          </cell>
        </row>
        <row r="23">
          <cell r="L23">
            <v>0.23273568686868687</v>
          </cell>
        </row>
        <row r="24">
          <cell r="L24">
            <v>0.22251055688622753</v>
          </cell>
        </row>
        <row r="25">
          <cell r="E25">
            <v>616873500</v>
          </cell>
          <cell r="H25">
            <v>166870000</v>
          </cell>
          <cell r="L25">
            <v>0.29491366726253354</v>
          </cell>
        </row>
        <row r="26">
          <cell r="L26">
            <v>0.24079032065034128</v>
          </cell>
        </row>
        <row r="27">
          <cell r="L27">
            <v>0.12904651149747348</v>
          </cell>
        </row>
        <row r="28">
          <cell r="L28">
            <v>0.56423264241646054</v>
          </cell>
        </row>
        <row r="29">
          <cell r="L29">
            <v>1.750612721756863E-2</v>
          </cell>
        </row>
        <row r="30">
          <cell r="L30">
            <v>0.29461086007631665</v>
          </cell>
        </row>
        <row r="31">
          <cell r="L31">
            <v>0.58298611125485122</v>
          </cell>
        </row>
        <row r="32">
          <cell r="L32">
            <v>0.14669915476190476</v>
          </cell>
        </row>
      </sheetData>
      <sheetData sheetId="3">
        <row r="7">
          <cell r="M7">
            <v>38405018</v>
          </cell>
        </row>
        <row r="8">
          <cell r="M8">
            <v>11906666</v>
          </cell>
        </row>
        <row r="9">
          <cell r="M9">
            <v>38583332</v>
          </cell>
        </row>
        <row r="10">
          <cell r="M10">
            <v>1000000</v>
          </cell>
        </row>
        <row r="11">
          <cell r="M11">
            <v>0</v>
          </cell>
        </row>
        <row r="12">
          <cell r="M12">
            <v>0</v>
          </cell>
        </row>
        <row r="13">
          <cell r="M13">
            <v>0</v>
          </cell>
        </row>
        <row r="14">
          <cell r="M14">
            <v>80797373</v>
          </cell>
        </row>
        <row r="15">
          <cell r="M15">
            <v>522000</v>
          </cell>
        </row>
        <row r="16">
          <cell r="M16">
            <v>70420102</v>
          </cell>
        </row>
        <row r="17">
          <cell r="M17">
            <v>0</v>
          </cell>
        </row>
        <row r="18">
          <cell r="M18">
            <v>139114980</v>
          </cell>
        </row>
        <row r="19">
          <cell r="M19">
            <v>0</v>
          </cell>
        </row>
        <row r="20">
          <cell r="M20">
            <v>78198332</v>
          </cell>
        </row>
        <row r="21">
          <cell r="M21">
            <v>0</v>
          </cell>
        </row>
        <row r="22">
          <cell r="M22">
            <v>15000000</v>
          </cell>
        </row>
        <row r="23">
          <cell r="M23">
            <v>48236667</v>
          </cell>
        </row>
        <row r="24">
          <cell r="M24">
            <v>11933334</v>
          </cell>
        </row>
        <row r="25">
          <cell r="M25">
            <v>0</v>
          </cell>
        </row>
        <row r="26">
          <cell r="M26">
            <v>3000000</v>
          </cell>
        </row>
        <row r="27">
          <cell r="M27">
            <v>12987293</v>
          </cell>
        </row>
        <row r="28">
          <cell r="M28">
            <v>1242174</v>
          </cell>
        </row>
        <row r="29">
          <cell r="M29">
            <v>170834105</v>
          </cell>
        </row>
        <row r="30">
          <cell r="M30">
            <v>135129957</v>
          </cell>
        </row>
        <row r="31">
          <cell r="M31">
            <v>13600000</v>
          </cell>
        </row>
        <row r="32">
          <cell r="M32">
            <v>0</v>
          </cell>
        </row>
        <row r="33">
          <cell r="M33">
            <v>24466664</v>
          </cell>
        </row>
        <row r="34">
          <cell r="M34">
            <v>4080055</v>
          </cell>
        </row>
        <row r="35">
          <cell r="M35">
            <v>17913944</v>
          </cell>
        </row>
        <row r="36">
          <cell r="M36">
            <v>26810462</v>
          </cell>
        </row>
        <row r="37">
          <cell r="M37">
            <v>99978255</v>
          </cell>
        </row>
        <row r="38">
          <cell r="M38">
            <v>121554577</v>
          </cell>
        </row>
        <row r="39">
          <cell r="M39">
            <v>59933333</v>
          </cell>
        </row>
        <row r="40">
          <cell r="M40">
            <v>30079965</v>
          </cell>
        </row>
        <row r="41">
          <cell r="M41">
            <v>9216667</v>
          </cell>
        </row>
        <row r="42">
          <cell r="M42">
            <v>255362024</v>
          </cell>
        </row>
        <row r="43">
          <cell r="M43">
            <v>170181631</v>
          </cell>
        </row>
        <row r="44">
          <cell r="M44">
            <v>25878994</v>
          </cell>
        </row>
        <row r="45">
          <cell r="M45">
            <v>438500</v>
          </cell>
        </row>
        <row r="46">
          <cell r="M46">
            <v>1354233144</v>
          </cell>
        </row>
        <row r="47">
          <cell r="M47">
            <v>94104339</v>
          </cell>
        </row>
        <row r="48">
          <cell r="M48">
            <v>55082867</v>
          </cell>
        </row>
        <row r="49">
          <cell r="M49">
            <v>66687640</v>
          </cell>
        </row>
        <row r="50">
          <cell r="M50">
            <v>908250</v>
          </cell>
        </row>
        <row r="51">
          <cell r="M51">
            <v>23144097</v>
          </cell>
        </row>
        <row r="52">
          <cell r="M52">
            <v>8200000</v>
          </cell>
        </row>
        <row r="53">
          <cell r="M53">
            <v>9563120</v>
          </cell>
        </row>
        <row r="54">
          <cell r="M54">
            <v>60165110</v>
          </cell>
        </row>
        <row r="55">
          <cell r="M55">
            <v>61072965</v>
          </cell>
        </row>
        <row r="56">
          <cell r="M56">
            <v>10246500</v>
          </cell>
        </row>
        <row r="57">
          <cell r="M57">
            <v>19041499</v>
          </cell>
        </row>
        <row r="58">
          <cell r="M58">
            <v>14041499</v>
          </cell>
        </row>
        <row r="59">
          <cell r="M59">
            <v>22849995</v>
          </cell>
        </row>
        <row r="60">
          <cell r="M60">
            <v>24932463</v>
          </cell>
        </row>
        <row r="61">
          <cell r="M61">
            <v>40000000</v>
          </cell>
        </row>
        <row r="62">
          <cell r="M62">
            <v>537498716</v>
          </cell>
        </row>
        <row r="63">
          <cell r="M63">
            <v>0</v>
          </cell>
        </row>
        <row r="64">
          <cell r="M64">
            <v>17049436</v>
          </cell>
        </row>
        <row r="65">
          <cell r="M65">
            <v>846111486</v>
          </cell>
        </row>
        <row r="66">
          <cell r="M66">
            <v>41566926</v>
          </cell>
        </row>
        <row r="67">
          <cell r="M67">
            <v>45451660</v>
          </cell>
        </row>
        <row r="68">
          <cell r="M68">
            <v>82160040</v>
          </cell>
        </row>
        <row r="69">
          <cell r="M69">
            <v>15125299</v>
          </cell>
        </row>
        <row r="70">
          <cell r="M70">
            <v>95776918</v>
          </cell>
        </row>
        <row r="71">
          <cell r="M71">
            <v>0</v>
          </cell>
        </row>
        <row r="72">
          <cell r="M72">
            <v>0</v>
          </cell>
        </row>
        <row r="73">
          <cell r="M73">
            <v>0</v>
          </cell>
        </row>
        <row r="74">
          <cell r="M74">
            <v>29339994</v>
          </cell>
        </row>
        <row r="75">
          <cell r="M75">
            <v>0</v>
          </cell>
        </row>
        <row r="76">
          <cell r="M76">
            <v>24493333</v>
          </cell>
        </row>
        <row r="77">
          <cell r="M77">
            <v>0</v>
          </cell>
        </row>
        <row r="78">
          <cell r="M78">
            <v>25500000</v>
          </cell>
        </row>
        <row r="79">
          <cell r="M79">
            <v>0</v>
          </cell>
        </row>
        <row r="80">
          <cell r="M80">
            <v>0</v>
          </cell>
        </row>
        <row r="81">
          <cell r="M81">
            <v>6120000</v>
          </cell>
        </row>
        <row r="82">
          <cell r="M82">
            <v>36049999</v>
          </cell>
        </row>
        <row r="83">
          <cell r="M83">
            <v>3000000</v>
          </cell>
        </row>
        <row r="84">
          <cell r="M84">
            <v>145637052</v>
          </cell>
        </row>
        <row r="85">
          <cell r="M85">
            <v>0</v>
          </cell>
        </row>
        <row r="86">
          <cell r="M86">
            <v>6166667</v>
          </cell>
        </row>
        <row r="87">
          <cell r="M87">
            <v>160703333</v>
          </cell>
        </row>
        <row r="88">
          <cell r="M88">
            <v>26750000</v>
          </cell>
        </row>
        <row r="89">
          <cell r="M89">
            <v>39246663</v>
          </cell>
        </row>
        <row r="90">
          <cell r="M90">
            <v>0</v>
          </cell>
        </row>
        <row r="91">
          <cell r="M91">
            <v>35500000</v>
          </cell>
        </row>
        <row r="92">
          <cell r="M92">
            <v>0</v>
          </cell>
        </row>
        <row r="93">
          <cell r="M93">
            <v>154166663</v>
          </cell>
        </row>
        <row r="94">
          <cell r="M94">
            <v>112803333</v>
          </cell>
        </row>
        <row r="95">
          <cell r="M95">
            <v>7800156714</v>
          </cell>
        </row>
        <row r="96">
          <cell r="M96">
            <v>0</v>
          </cell>
        </row>
        <row r="97">
          <cell r="M97">
            <v>0</v>
          </cell>
        </row>
        <row r="98">
          <cell r="M98">
            <v>0</v>
          </cell>
        </row>
        <row r="99">
          <cell r="M99">
            <v>0</v>
          </cell>
        </row>
        <row r="100">
          <cell r="M100">
            <v>0</v>
          </cell>
        </row>
        <row r="101">
          <cell r="M101">
            <v>0</v>
          </cell>
        </row>
        <row r="102">
          <cell r="M102">
            <v>0</v>
          </cell>
        </row>
        <row r="103">
          <cell r="M103">
            <v>0</v>
          </cell>
        </row>
        <row r="104">
          <cell r="M104">
            <v>11900000</v>
          </cell>
        </row>
        <row r="105">
          <cell r="M105">
            <v>0</v>
          </cell>
        </row>
        <row r="106">
          <cell r="M106">
            <v>0</v>
          </cell>
        </row>
        <row r="107">
          <cell r="M107">
            <v>0</v>
          </cell>
        </row>
        <row r="108">
          <cell r="M108">
            <v>0</v>
          </cell>
        </row>
        <row r="109">
          <cell r="M109">
            <v>0</v>
          </cell>
        </row>
        <row r="110">
          <cell r="M110">
            <v>40755608</v>
          </cell>
        </row>
        <row r="111">
          <cell r="M111">
            <v>0</v>
          </cell>
        </row>
        <row r="112">
          <cell r="M112">
            <v>13700000</v>
          </cell>
        </row>
        <row r="113">
          <cell r="M113">
            <v>53496760</v>
          </cell>
        </row>
        <row r="114">
          <cell r="M114">
            <v>60309740</v>
          </cell>
        </row>
        <row r="115">
          <cell r="M115">
            <v>277397507</v>
          </cell>
        </row>
        <row r="116">
          <cell r="M116">
            <v>26775000</v>
          </cell>
        </row>
        <row r="117">
          <cell r="M117">
            <v>87442803</v>
          </cell>
        </row>
        <row r="118">
          <cell r="M118">
            <v>0</v>
          </cell>
        </row>
        <row r="119">
          <cell r="M119">
            <v>88587284</v>
          </cell>
        </row>
        <row r="120">
          <cell r="M120">
            <v>99169331</v>
          </cell>
        </row>
        <row r="121">
          <cell r="M121">
            <v>59500000</v>
          </cell>
        </row>
        <row r="122">
          <cell r="M122">
            <v>11200000</v>
          </cell>
        </row>
        <row r="123">
          <cell r="M123">
            <v>104748846</v>
          </cell>
        </row>
        <row r="125">
          <cell r="M125">
            <v>16216625</v>
          </cell>
        </row>
      </sheetData>
      <sheetData sheetId="4">
        <row r="15">
          <cell r="T15">
            <v>108.78</v>
          </cell>
        </row>
        <row r="21">
          <cell r="R21">
            <v>103.8</v>
          </cell>
        </row>
      </sheetData>
      <sheetData sheetId="5">
        <row r="6">
          <cell r="A6" t="str">
            <v>SF-PY.1.1.  Inducción y Reinducción con docentes, estudiantes, Administrativos y Directivos de la Universidad, sobre mision, vision, principios y valores.</v>
          </cell>
          <cell r="B6">
            <v>14000</v>
          </cell>
          <cell r="C6">
            <v>29000</v>
          </cell>
          <cell r="F6">
            <v>105000000</v>
          </cell>
          <cell r="H6">
            <v>100000000</v>
          </cell>
        </row>
        <row r="7">
          <cell r="A7" t="str">
            <v>SF-PY.1.2.  Promocion de la cultura  participativa y la democracia deliberativa en la comunidad  universitaria</v>
          </cell>
          <cell r="B7">
            <v>25</v>
          </cell>
          <cell r="C7">
            <v>275</v>
          </cell>
          <cell r="F7">
            <v>40000000</v>
          </cell>
          <cell r="H7">
            <v>40000000</v>
          </cell>
        </row>
        <row r="13">
          <cell r="A13" t="str">
            <v>SF-PY.2.1.Nuevos programas académicos de pregrado presenciales y virtuales.</v>
          </cell>
          <cell r="B13">
            <v>36</v>
          </cell>
          <cell r="C13">
            <v>40</v>
          </cell>
          <cell r="F13">
            <v>15000000</v>
          </cell>
          <cell r="H13">
            <v>15000000</v>
          </cell>
        </row>
        <row r="14">
          <cell r="A14" t="str">
            <v>SF-PY.2.2.Nuevos programas académicos de postgrado presenciales y virtuales</v>
          </cell>
          <cell r="B14">
            <v>37</v>
          </cell>
          <cell r="C14">
            <v>45</v>
          </cell>
          <cell r="F14">
            <v>30000000</v>
          </cell>
          <cell r="H14">
            <v>20000000</v>
          </cell>
        </row>
        <row r="15">
          <cell r="A15" t="str">
            <v>SF-PY.2.3.Nuevos programas académicos articulados en distintos niveles , ciclos propedéuticos, metodologias y modalidades. PAEME.</v>
          </cell>
          <cell r="B15">
            <v>0</v>
          </cell>
          <cell r="C15">
            <v>11</v>
          </cell>
          <cell r="F15">
            <v>346400000</v>
          </cell>
          <cell r="H15">
            <v>28600000</v>
          </cell>
        </row>
        <row r="16">
          <cell r="A16" t="str">
            <v>SF-PY.2.4.Programas académicos articulados en distintos niveles con la educación media.</v>
          </cell>
          <cell r="B16">
            <v>0</v>
          </cell>
          <cell r="C16">
            <v>11</v>
          </cell>
          <cell r="F16">
            <v>225000000</v>
          </cell>
          <cell r="H16">
            <v>45000000</v>
          </cell>
        </row>
        <row r="22">
          <cell r="A22" t="str">
            <v>SF-PY.3.1. Formación de alto nivel en Maestrías</v>
          </cell>
          <cell r="B22">
            <v>173</v>
          </cell>
          <cell r="C22">
            <v>178</v>
          </cell>
          <cell r="F22">
            <v>15000000</v>
          </cell>
          <cell r="H22">
            <v>15000000</v>
          </cell>
        </row>
        <row r="23">
          <cell r="A23" t="str">
            <v>SF-PY.3.2. Formación de alto nivel Doctorados</v>
          </cell>
          <cell r="B23">
            <v>54</v>
          </cell>
          <cell r="C23">
            <v>67</v>
          </cell>
          <cell r="F23">
            <v>1166707400.67272</v>
          </cell>
          <cell r="H23">
            <v>1329277635.8636398</v>
          </cell>
        </row>
        <row r="24">
          <cell r="A24" t="str">
            <v xml:space="preserve">SF-PY.3.3. Estudios de Nivel Pos doctoral </v>
          </cell>
          <cell r="B24">
            <v>1</v>
          </cell>
          <cell r="C24">
            <v>11</v>
          </cell>
          <cell r="F24">
            <v>90000000</v>
          </cell>
          <cell r="H24">
            <v>90000000</v>
          </cell>
        </row>
        <row r="25">
          <cell r="A25" t="str">
            <v>SF-PY.3.4 Capacitación y actualización individual y colectiva en pedagogías, didácticas, estudios sociales, culturales y estéticos</v>
          </cell>
          <cell r="B25">
            <v>346</v>
          </cell>
          <cell r="C25">
            <v>350</v>
          </cell>
          <cell r="F25">
            <v>628000000</v>
          </cell>
          <cell r="H25">
            <v>628000000</v>
          </cell>
        </row>
        <row r="26">
          <cell r="A26" t="str">
            <v xml:space="preserve"> SF-PY.3.5 Capacitación en lenguas extranjeras</v>
          </cell>
          <cell r="B26">
            <v>64</v>
          </cell>
          <cell r="C26">
            <v>70</v>
          </cell>
          <cell r="F26">
            <v>80000000</v>
          </cell>
          <cell r="H26">
            <v>80000000</v>
          </cell>
        </row>
        <row r="32">
          <cell r="A32" t="str">
            <v>SF-PY.4.1 Procesos de autoevaluación de programas de pregrado y postgrado</v>
          </cell>
          <cell r="B32">
            <v>73</v>
          </cell>
          <cell r="C32">
            <v>73</v>
          </cell>
          <cell r="F32">
            <v>155000000</v>
          </cell>
          <cell r="H32">
            <v>150000000</v>
          </cell>
        </row>
        <row r="33">
          <cell r="A33" t="str">
            <v>SF-PY.4.2 Actualización curricular pertinente y coherente con el PEU, PEF, PEP.</v>
          </cell>
          <cell r="B33">
            <v>73</v>
          </cell>
          <cell r="C33">
            <v>73</v>
          </cell>
          <cell r="F33">
            <v>61000000</v>
          </cell>
          <cell r="H33">
            <v>51000000</v>
          </cell>
        </row>
        <row r="34">
          <cell r="A34" t="str">
            <v>SF-PY.4.3 Procesos de autoevaluacion y mejoramiento de la calidad para la renovacion de  acreditacion de alta calidad institucional</v>
          </cell>
          <cell r="B34">
            <v>1</v>
          </cell>
          <cell r="C34">
            <v>1</v>
          </cell>
          <cell r="F34">
            <v>100000000</v>
          </cell>
          <cell r="H34">
            <v>100000000</v>
          </cell>
        </row>
        <row r="40">
          <cell r="A40" t="str">
            <v>SF-PY.5.1 Diseño y puesta en marcha politica de relevo generacional</v>
          </cell>
          <cell r="B40">
            <v>0</v>
          </cell>
          <cell r="C40">
            <v>10</v>
          </cell>
          <cell r="F40">
            <v>20000000</v>
          </cell>
          <cell r="H40">
            <v>20000000</v>
          </cell>
        </row>
        <row r="46">
          <cell r="A46" t="str">
            <v xml:space="preserve">SF-PY.6.1. Portal y Observatorio Laboral, para enlace laboral y orientar proyectos de emprendimiento. </v>
          </cell>
          <cell r="B46">
            <v>1</v>
          </cell>
          <cell r="C46">
            <v>1</v>
          </cell>
          <cell r="F46">
            <v>20000000</v>
          </cell>
          <cell r="H46">
            <v>20000000</v>
          </cell>
        </row>
        <row r="47">
          <cell r="A47" t="str">
            <v>SF-PY.6.2. Programa de Seguimiento, evaluación y encuentros de graduados</v>
          </cell>
          <cell r="B47">
            <v>10</v>
          </cell>
          <cell r="C47">
            <v>70</v>
          </cell>
          <cell r="F47">
            <v>150000000</v>
          </cell>
          <cell r="H47">
            <v>150000000</v>
          </cell>
        </row>
        <row r="48">
          <cell r="A48" t="str">
            <v>SF-PY.6.3.Fomento de proyectos para  asociaciones, convenios, movilidad  y vinculación a proyección social e investigación para graduados.</v>
          </cell>
          <cell r="B48">
            <v>20</v>
          </cell>
          <cell r="C48">
            <v>140</v>
          </cell>
          <cell r="F48">
            <v>100000000</v>
          </cell>
          <cell r="H48">
            <v>100000000</v>
          </cell>
        </row>
      </sheetData>
      <sheetData sheetId="6">
        <row r="6">
          <cell r="B6">
            <v>36</v>
          </cell>
          <cell r="C6">
            <v>240</v>
          </cell>
          <cell r="F6">
            <v>140000000</v>
          </cell>
          <cell r="H6">
            <v>157000000</v>
          </cell>
        </row>
        <row r="7">
          <cell r="B7">
            <v>158</v>
          </cell>
          <cell r="C7">
            <v>4078</v>
          </cell>
        </row>
        <row r="8">
          <cell r="B8">
            <v>900</v>
          </cell>
          <cell r="C8">
            <v>3450</v>
          </cell>
          <cell r="F8">
            <v>36000000</v>
          </cell>
          <cell r="H8">
            <v>38400000</v>
          </cell>
        </row>
        <row r="14">
          <cell r="B14">
            <v>66</v>
          </cell>
          <cell r="C14">
            <v>337</v>
          </cell>
          <cell r="F14">
            <v>301934741</v>
          </cell>
          <cell r="H14">
            <v>215800000</v>
          </cell>
        </row>
        <row r="15">
          <cell r="B15">
            <v>134</v>
          </cell>
          <cell r="C15">
            <v>201</v>
          </cell>
          <cell r="F15">
            <v>41500000</v>
          </cell>
          <cell r="H15">
            <v>49800000</v>
          </cell>
        </row>
        <row r="16">
          <cell r="B16">
            <v>44</v>
          </cell>
          <cell r="C16">
            <v>264</v>
          </cell>
          <cell r="F16">
            <v>1036000000</v>
          </cell>
          <cell r="H16">
            <v>1120500000</v>
          </cell>
        </row>
        <row r="17">
          <cell r="B17">
            <v>4</v>
          </cell>
          <cell r="C17">
            <v>40</v>
          </cell>
          <cell r="F17">
            <v>597600000</v>
          </cell>
          <cell r="H17">
            <v>0</v>
          </cell>
        </row>
        <row r="18">
          <cell r="B18">
            <v>0</v>
          </cell>
          <cell r="C18">
            <v>10</v>
          </cell>
          <cell r="F18">
            <v>500000000</v>
          </cell>
          <cell r="H18">
            <v>0</v>
          </cell>
        </row>
        <row r="19">
          <cell r="B19">
            <v>0</v>
          </cell>
          <cell r="C19">
            <v>30</v>
          </cell>
          <cell r="F19">
            <v>300000000</v>
          </cell>
          <cell r="H19">
            <v>0</v>
          </cell>
        </row>
        <row r="20">
          <cell r="B20">
            <v>66</v>
          </cell>
          <cell r="C20">
            <v>109</v>
          </cell>
          <cell r="F20">
            <v>327960000</v>
          </cell>
          <cell r="H20">
            <v>327960000</v>
          </cell>
        </row>
        <row r="26">
          <cell r="B26">
            <v>31</v>
          </cell>
          <cell r="C26">
            <v>163</v>
          </cell>
          <cell r="F26">
            <v>168000000</v>
          </cell>
          <cell r="H26">
            <v>207000000</v>
          </cell>
        </row>
        <row r="27">
          <cell r="B27">
            <v>85</v>
          </cell>
          <cell r="C27">
            <v>610</v>
          </cell>
          <cell r="F27">
            <v>212500000</v>
          </cell>
          <cell r="H27">
            <v>237500000</v>
          </cell>
        </row>
        <row r="28">
          <cell r="B28">
            <v>1</v>
          </cell>
          <cell r="C28">
            <v>7</v>
          </cell>
          <cell r="F28">
            <v>14000000</v>
          </cell>
          <cell r="H28">
            <v>14000000</v>
          </cell>
        </row>
        <row r="29">
          <cell r="B29">
            <v>6</v>
          </cell>
          <cell r="C29">
            <v>7</v>
          </cell>
          <cell r="F29">
            <v>210000000</v>
          </cell>
          <cell r="H29">
            <v>280000000</v>
          </cell>
        </row>
        <row r="30">
          <cell r="B30">
            <v>0</v>
          </cell>
          <cell r="C30">
            <v>1</v>
          </cell>
          <cell r="F30">
            <v>500000000</v>
          </cell>
          <cell r="H30">
            <v>500000000</v>
          </cell>
        </row>
        <row r="31">
          <cell r="B31">
            <v>45</v>
          </cell>
          <cell r="C31">
            <v>51</v>
          </cell>
          <cell r="F31">
            <v>292500000</v>
          </cell>
          <cell r="G31">
            <v>48</v>
          </cell>
          <cell r="H31">
            <v>312000000</v>
          </cell>
        </row>
        <row r="32">
          <cell r="B32">
            <v>75</v>
          </cell>
          <cell r="C32">
            <v>95</v>
          </cell>
          <cell r="F32">
            <v>60000000</v>
          </cell>
          <cell r="G32">
            <v>85</v>
          </cell>
          <cell r="H32">
            <v>68000000</v>
          </cell>
        </row>
        <row r="33">
          <cell r="B33">
            <v>7</v>
          </cell>
          <cell r="C33">
            <v>8</v>
          </cell>
          <cell r="F33">
            <v>36000000</v>
          </cell>
          <cell r="G33">
            <v>8</v>
          </cell>
          <cell r="H33">
            <v>36000000</v>
          </cell>
        </row>
        <row r="34">
          <cell r="B34">
            <v>23</v>
          </cell>
          <cell r="C34">
            <v>439</v>
          </cell>
          <cell r="F34">
            <v>110500000</v>
          </cell>
          <cell r="H34">
            <v>122400000</v>
          </cell>
        </row>
        <row r="35">
          <cell r="B35">
            <v>0.4</v>
          </cell>
          <cell r="C35">
            <v>1</v>
          </cell>
          <cell r="F35">
            <v>62000000</v>
          </cell>
        </row>
        <row r="36">
          <cell r="B36">
            <v>0</v>
          </cell>
          <cell r="C36">
            <v>5</v>
          </cell>
          <cell r="F36">
            <v>0</v>
          </cell>
          <cell r="H36">
            <v>62000000</v>
          </cell>
        </row>
        <row r="37">
          <cell r="B37">
            <v>9</v>
          </cell>
          <cell r="C37">
            <v>9</v>
          </cell>
          <cell r="F37">
            <v>324000000</v>
          </cell>
          <cell r="H37">
            <v>324000000</v>
          </cell>
        </row>
        <row r="38">
          <cell r="B38">
            <v>3</v>
          </cell>
          <cell r="C38">
            <v>5</v>
          </cell>
          <cell r="F38">
            <v>600000000</v>
          </cell>
          <cell r="G38">
            <v>5</v>
          </cell>
          <cell r="H38">
            <v>800000000</v>
          </cell>
        </row>
        <row r="44">
          <cell r="B44">
            <v>9</v>
          </cell>
          <cell r="C44">
            <v>24</v>
          </cell>
          <cell r="F44">
            <v>56000000</v>
          </cell>
          <cell r="H44">
            <v>56000000</v>
          </cell>
        </row>
        <row r="45">
          <cell r="B45">
            <v>3</v>
          </cell>
          <cell r="C45">
            <v>8</v>
          </cell>
          <cell r="F45">
            <v>50000000</v>
          </cell>
          <cell r="H45">
            <v>50000000</v>
          </cell>
        </row>
        <row r="51">
          <cell r="B51">
            <v>29</v>
          </cell>
          <cell r="C51">
            <v>104</v>
          </cell>
          <cell r="F51">
            <v>2200000000</v>
          </cell>
          <cell r="H51">
            <v>2200000000</v>
          </cell>
        </row>
        <row r="57">
          <cell r="B57">
            <v>11</v>
          </cell>
          <cell r="C57">
            <v>11</v>
          </cell>
          <cell r="F57">
            <v>198000000</v>
          </cell>
          <cell r="H57">
            <v>198000000</v>
          </cell>
        </row>
        <row r="58">
          <cell r="B58">
            <v>0</v>
          </cell>
          <cell r="C58">
            <v>2</v>
          </cell>
          <cell r="E58">
            <v>0</v>
          </cell>
          <cell r="F58">
            <v>111210888</v>
          </cell>
          <cell r="G58">
            <v>1</v>
          </cell>
          <cell r="H58">
            <v>100000000</v>
          </cell>
        </row>
        <row r="59">
          <cell r="B59">
            <v>54</v>
          </cell>
          <cell r="C59">
            <v>127</v>
          </cell>
          <cell r="E59">
            <v>12</v>
          </cell>
          <cell r="F59">
            <v>197242000</v>
          </cell>
          <cell r="G59">
            <v>13</v>
          </cell>
          <cell r="H59">
            <v>243836000</v>
          </cell>
        </row>
      </sheetData>
      <sheetData sheetId="7">
        <row r="6">
          <cell r="B6">
            <v>9</v>
          </cell>
          <cell r="C6">
            <v>69</v>
          </cell>
          <cell r="F6">
            <v>36000000</v>
          </cell>
          <cell r="H6">
            <v>45000000</v>
          </cell>
        </row>
        <row r="7">
          <cell r="B7">
            <v>43</v>
          </cell>
          <cell r="C7">
            <v>88</v>
          </cell>
          <cell r="F7">
            <v>70000000</v>
          </cell>
          <cell r="H7">
            <v>70000000</v>
          </cell>
        </row>
        <row r="8">
          <cell r="B8">
            <v>55</v>
          </cell>
          <cell r="C8">
            <v>105</v>
          </cell>
          <cell r="F8">
            <v>40000000</v>
          </cell>
          <cell r="H8">
            <v>55000000</v>
          </cell>
        </row>
        <row r="9">
          <cell r="B9">
            <v>559</v>
          </cell>
          <cell r="C9">
            <v>1309</v>
          </cell>
          <cell r="F9">
            <v>329420000</v>
          </cell>
          <cell r="H9">
            <v>345000000</v>
          </cell>
        </row>
        <row r="15">
          <cell r="B15">
            <v>130</v>
          </cell>
          <cell r="C15">
            <v>130</v>
          </cell>
          <cell r="F15">
            <v>381000000</v>
          </cell>
          <cell r="H15">
            <v>381000000</v>
          </cell>
        </row>
        <row r="16">
          <cell r="B16">
            <v>14</v>
          </cell>
          <cell r="C16">
            <v>21</v>
          </cell>
        </row>
        <row r="18">
          <cell r="B18">
            <v>3</v>
          </cell>
          <cell r="C18">
            <v>8</v>
          </cell>
          <cell r="F18">
            <v>25000000</v>
          </cell>
          <cell r="H18">
            <v>25000000</v>
          </cell>
        </row>
        <row r="19">
          <cell r="B19">
            <v>1974</v>
          </cell>
          <cell r="C19">
            <v>5115.5712000000003</v>
          </cell>
          <cell r="F19">
            <v>144500000</v>
          </cell>
          <cell r="H19">
            <v>144500000</v>
          </cell>
        </row>
        <row r="20">
          <cell r="B20">
            <v>75</v>
          </cell>
          <cell r="C20">
            <v>96.024993749999993</v>
          </cell>
        </row>
        <row r="21">
          <cell r="B21">
            <v>6624</v>
          </cell>
          <cell r="C21">
            <v>16480.9728</v>
          </cell>
        </row>
        <row r="22">
          <cell r="B22">
            <v>0</v>
          </cell>
          <cell r="C22">
            <v>512</v>
          </cell>
          <cell r="F22">
            <v>0</v>
          </cell>
          <cell r="H22">
            <v>120606750</v>
          </cell>
        </row>
        <row r="23">
          <cell r="B23">
            <v>1614</v>
          </cell>
          <cell r="C23">
            <v>9684</v>
          </cell>
          <cell r="F23">
            <v>57321000</v>
          </cell>
          <cell r="H23">
            <v>57321000</v>
          </cell>
        </row>
        <row r="24">
          <cell r="B24">
            <v>700</v>
          </cell>
          <cell r="C24">
            <v>9100</v>
          </cell>
          <cell r="F24">
            <v>36144000</v>
          </cell>
          <cell r="H24">
            <v>108432000</v>
          </cell>
        </row>
        <row r="25">
          <cell r="B25">
            <v>8</v>
          </cell>
          <cell r="C25">
            <v>20</v>
          </cell>
          <cell r="F25">
            <v>85000000</v>
          </cell>
          <cell r="H25">
            <v>85000000</v>
          </cell>
        </row>
        <row r="26">
          <cell r="B26">
            <v>1170</v>
          </cell>
          <cell r="C26">
            <v>3566</v>
          </cell>
        </row>
        <row r="27">
          <cell r="B27">
            <v>3352</v>
          </cell>
          <cell r="C27">
            <v>10227</v>
          </cell>
        </row>
        <row r="28">
          <cell r="B28">
            <v>259</v>
          </cell>
          <cell r="C28">
            <v>1036</v>
          </cell>
        </row>
        <row r="29">
          <cell r="B29">
            <v>518</v>
          </cell>
          <cell r="C29">
            <v>2072</v>
          </cell>
        </row>
        <row r="30">
          <cell r="B30">
            <v>7100</v>
          </cell>
          <cell r="C30">
            <v>11434</v>
          </cell>
          <cell r="F30">
            <v>168000000</v>
          </cell>
          <cell r="H30">
            <v>158000000</v>
          </cell>
        </row>
        <row r="31">
          <cell r="B31">
            <v>1100</v>
          </cell>
          <cell r="C31">
            <v>1771</v>
          </cell>
        </row>
        <row r="32">
          <cell r="B32">
            <v>0</v>
          </cell>
          <cell r="C32">
            <v>2</v>
          </cell>
          <cell r="F32">
            <v>76000000</v>
          </cell>
        </row>
        <row r="33">
          <cell r="B33">
            <v>0</v>
          </cell>
          <cell r="C33">
            <v>1</v>
          </cell>
        </row>
        <row r="34">
          <cell r="B34">
            <v>0</v>
          </cell>
          <cell r="C34">
            <v>300</v>
          </cell>
        </row>
        <row r="35">
          <cell r="B35">
            <v>0</v>
          </cell>
          <cell r="C35">
            <v>2</v>
          </cell>
        </row>
        <row r="41">
          <cell r="B41">
            <v>4</v>
          </cell>
          <cell r="C41">
            <v>9</v>
          </cell>
          <cell r="F41">
            <v>250000000</v>
          </cell>
          <cell r="H41">
            <v>300000000</v>
          </cell>
        </row>
        <row r="42">
          <cell r="B42">
            <v>46</v>
          </cell>
          <cell r="C42">
            <v>76</v>
          </cell>
          <cell r="F42">
            <v>300000000</v>
          </cell>
          <cell r="H42">
            <v>300000000</v>
          </cell>
        </row>
        <row r="43">
          <cell r="B43">
            <v>67</v>
          </cell>
          <cell r="C43">
            <v>67</v>
          </cell>
          <cell r="F43">
            <v>200000000</v>
          </cell>
          <cell r="H43">
            <v>200000000</v>
          </cell>
        </row>
        <row r="44">
          <cell r="B44">
            <v>29</v>
          </cell>
          <cell r="C44">
            <v>105</v>
          </cell>
          <cell r="F44">
            <v>350000000</v>
          </cell>
          <cell r="H44">
            <v>350000000</v>
          </cell>
        </row>
        <row r="45">
          <cell r="B45">
            <v>0</v>
          </cell>
          <cell r="C45">
            <v>2280</v>
          </cell>
        </row>
        <row r="46">
          <cell r="B46">
            <v>92</v>
          </cell>
          <cell r="C46">
            <v>204</v>
          </cell>
          <cell r="F46">
            <v>285000000</v>
          </cell>
          <cell r="H46">
            <v>315000000</v>
          </cell>
        </row>
        <row r="47">
          <cell r="B47">
            <v>0</v>
          </cell>
          <cell r="C47">
            <v>4070</v>
          </cell>
        </row>
        <row r="48">
          <cell r="B48">
            <v>37</v>
          </cell>
          <cell r="C48">
            <v>111</v>
          </cell>
          <cell r="F48">
            <v>253000000</v>
          </cell>
          <cell r="H48">
            <v>276000000</v>
          </cell>
        </row>
        <row r="49">
          <cell r="B49">
            <v>0</v>
          </cell>
          <cell r="C49">
            <v>7930</v>
          </cell>
        </row>
        <row r="50">
          <cell r="B50">
            <v>87</v>
          </cell>
          <cell r="C50">
            <v>192</v>
          </cell>
          <cell r="F50">
            <v>420000000</v>
          </cell>
          <cell r="H50">
            <v>420000000</v>
          </cell>
        </row>
        <row r="51">
          <cell r="B51">
            <v>0</v>
          </cell>
          <cell r="C51">
            <v>22530</v>
          </cell>
        </row>
        <row r="52">
          <cell r="B52">
            <v>17</v>
          </cell>
          <cell r="C52">
            <v>42</v>
          </cell>
          <cell r="F52">
            <v>1530000000</v>
          </cell>
          <cell r="H52">
            <v>1530000000</v>
          </cell>
        </row>
        <row r="53">
          <cell r="B53">
            <v>0</v>
          </cell>
          <cell r="C53">
            <v>16899</v>
          </cell>
        </row>
        <row r="54">
          <cell r="B54">
            <v>14</v>
          </cell>
          <cell r="C54">
            <v>28</v>
          </cell>
          <cell r="F54">
            <v>200000000</v>
          </cell>
          <cell r="H54">
            <v>200000000</v>
          </cell>
        </row>
        <row r="60">
          <cell r="B60">
            <v>138</v>
          </cell>
          <cell r="C60">
            <v>308</v>
          </cell>
          <cell r="F60">
            <v>154600000</v>
          </cell>
          <cell r="H60">
            <v>154600000</v>
          </cell>
        </row>
        <row r="61">
          <cell r="B61">
            <v>1600</v>
          </cell>
          <cell r="C61">
            <v>4800</v>
          </cell>
        </row>
        <row r="62">
          <cell r="B62">
            <v>48</v>
          </cell>
          <cell r="C62">
            <v>144</v>
          </cell>
        </row>
        <row r="63">
          <cell r="B63">
            <v>1920</v>
          </cell>
          <cell r="C63">
            <v>2040</v>
          </cell>
          <cell r="F63">
            <v>148300000</v>
          </cell>
          <cell r="H63">
            <v>148300000</v>
          </cell>
        </row>
        <row r="64">
          <cell r="B64">
            <v>105</v>
          </cell>
          <cell r="C64">
            <v>264</v>
          </cell>
          <cell r="F64">
            <v>90200000</v>
          </cell>
          <cell r="H64">
            <v>90200000</v>
          </cell>
        </row>
        <row r="65">
          <cell r="B65">
            <v>0</v>
          </cell>
          <cell r="C65">
            <v>24</v>
          </cell>
          <cell r="F65">
            <v>167900000</v>
          </cell>
          <cell r="H65">
            <v>167900000</v>
          </cell>
        </row>
        <row r="66">
          <cell r="B66">
            <v>0</v>
          </cell>
          <cell r="C66">
            <v>12</v>
          </cell>
        </row>
        <row r="72">
          <cell r="B72">
            <v>0</v>
          </cell>
          <cell r="C72">
            <v>1</v>
          </cell>
          <cell r="F72">
            <v>130000000</v>
          </cell>
          <cell r="H72">
            <v>130000000</v>
          </cell>
        </row>
        <row r="73">
          <cell r="B73">
            <v>14</v>
          </cell>
          <cell r="C73">
            <v>24</v>
          </cell>
          <cell r="F73">
            <v>10000000</v>
          </cell>
          <cell r="H73">
            <v>10000000</v>
          </cell>
        </row>
        <row r="74">
          <cell r="B74">
            <v>5</v>
          </cell>
          <cell r="C74">
            <v>16</v>
          </cell>
          <cell r="F74">
            <v>8000000</v>
          </cell>
          <cell r="H74">
            <v>8000000</v>
          </cell>
        </row>
        <row r="75">
          <cell r="B75">
            <v>0.1</v>
          </cell>
          <cell r="C75">
            <v>1</v>
          </cell>
          <cell r="F75">
            <v>25000000</v>
          </cell>
          <cell r="H75">
            <v>25000000</v>
          </cell>
        </row>
        <row r="81">
          <cell r="F81">
            <v>173643500</v>
          </cell>
          <cell r="H81">
            <v>173643500</v>
          </cell>
        </row>
      </sheetData>
      <sheetData sheetId="8">
        <row r="6">
          <cell r="B6">
            <v>1800</v>
          </cell>
          <cell r="C6">
            <v>1800</v>
          </cell>
          <cell r="F6">
            <v>120000000</v>
          </cell>
          <cell r="H6">
            <v>120000000</v>
          </cell>
        </row>
        <row r="7">
          <cell r="B7">
            <v>980</v>
          </cell>
          <cell r="C7">
            <v>980</v>
          </cell>
          <cell r="F7">
            <v>85000000</v>
          </cell>
          <cell r="H7">
            <v>85000000</v>
          </cell>
        </row>
        <row r="8">
          <cell r="B8">
            <v>1300</v>
          </cell>
          <cell r="C8">
            <v>1300</v>
          </cell>
          <cell r="F8">
            <v>100000000</v>
          </cell>
          <cell r="H8">
            <v>100000000</v>
          </cell>
        </row>
        <row r="9">
          <cell r="B9">
            <v>10</v>
          </cell>
          <cell r="C9">
            <v>10</v>
          </cell>
          <cell r="F9">
            <v>20000000</v>
          </cell>
          <cell r="H9">
            <v>20000000</v>
          </cell>
        </row>
        <row r="10">
          <cell r="B10">
            <v>10</v>
          </cell>
          <cell r="C10">
            <v>10</v>
          </cell>
          <cell r="F10">
            <v>17000000</v>
          </cell>
          <cell r="H10">
            <v>17000000</v>
          </cell>
        </row>
        <row r="11">
          <cell r="B11">
            <v>10</v>
          </cell>
          <cell r="C11">
            <v>10</v>
          </cell>
          <cell r="F11">
            <v>41000000</v>
          </cell>
          <cell r="H11">
            <v>41000000</v>
          </cell>
        </row>
        <row r="12">
          <cell r="B12">
            <v>6694</v>
          </cell>
          <cell r="C12">
            <v>6694</v>
          </cell>
          <cell r="F12">
            <v>141000000</v>
          </cell>
          <cell r="H12">
            <v>141000000</v>
          </cell>
        </row>
        <row r="18">
          <cell r="B18">
            <v>32</v>
          </cell>
          <cell r="C18">
            <v>32</v>
          </cell>
          <cell r="F18">
            <v>97200000</v>
          </cell>
          <cell r="H18">
            <v>97200000</v>
          </cell>
        </row>
        <row r="19">
          <cell r="B19">
            <v>116</v>
          </cell>
          <cell r="C19">
            <v>116</v>
          </cell>
          <cell r="F19">
            <v>421000000</v>
          </cell>
          <cell r="H19">
            <v>421000000</v>
          </cell>
        </row>
        <row r="20">
          <cell r="B20">
            <v>83</v>
          </cell>
          <cell r="C20">
            <v>83</v>
          </cell>
          <cell r="F20">
            <v>130000000</v>
          </cell>
          <cell r="H20">
            <v>130000000</v>
          </cell>
        </row>
        <row r="26">
          <cell r="B26">
            <v>16</v>
          </cell>
          <cell r="C26">
            <v>16</v>
          </cell>
          <cell r="F26">
            <v>205624500</v>
          </cell>
          <cell r="H26">
            <v>205624500</v>
          </cell>
        </row>
        <row r="27">
          <cell r="B27">
            <v>260</v>
          </cell>
          <cell r="C27">
            <v>260</v>
          </cell>
          <cell r="F27">
            <v>411249000</v>
          </cell>
          <cell r="H27">
            <v>411249000</v>
          </cell>
        </row>
        <row r="33">
          <cell r="B33">
            <v>13</v>
          </cell>
          <cell r="C33">
            <v>15</v>
          </cell>
          <cell r="F33">
            <v>70000000</v>
          </cell>
          <cell r="H33">
            <v>70000000</v>
          </cell>
        </row>
        <row r="34">
          <cell r="B34">
            <v>100</v>
          </cell>
          <cell r="C34">
            <v>119</v>
          </cell>
          <cell r="F34">
            <v>96000000</v>
          </cell>
          <cell r="H34">
            <v>96000000</v>
          </cell>
        </row>
        <row r="35">
          <cell r="B35">
            <v>1593</v>
          </cell>
          <cell r="C35">
            <v>1794</v>
          </cell>
          <cell r="F35">
            <v>20000000</v>
          </cell>
          <cell r="H35">
            <v>20000000</v>
          </cell>
        </row>
        <row r="41">
          <cell r="B41">
            <v>466</v>
          </cell>
          <cell r="C41">
            <v>556</v>
          </cell>
          <cell r="F41">
            <v>65000000</v>
          </cell>
          <cell r="H41">
            <v>65000000</v>
          </cell>
        </row>
        <row r="42">
          <cell r="B42">
            <v>12000</v>
          </cell>
          <cell r="C42">
            <v>13514</v>
          </cell>
          <cell r="F42">
            <v>1662500000</v>
          </cell>
          <cell r="H42">
            <v>1662500000</v>
          </cell>
        </row>
        <row r="43">
          <cell r="B43">
            <v>12000</v>
          </cell>
          <cell r="C43">
            <v>12000</v>
          </cell>
          <cell r="F43">
            <v>780000000</v>
          </cell>
          <cell r="H43">
            <v>780000000</v>
          </cell>
        </row>
        <row r="44">
          <cell r="B44">
            <v>6500</v>
          </cell>
          <cell r="C44">
            <v>6500</v>
          </cell>
          <cell r="F44">
            <v>200000000</v>
          </cell>
          <cell r="H44">
            <v>200000000</v>
          </cell>
        </row>
      </sheetData>
      <sheetData sheetId="9">
        <row r="6">
          <cell r="B6">
            <v>41120</v>
          </cell>
          <cell r="C6">
            <v>50220</v>
          </cell>
          <cell r="F6">
            <v>14073740380</v>
          </cell>
          <cell r="H6">
            <v>2559000000</v>
          </cell>
        </row>
        <row r="7">
          <cell r="B7">
            <v>17287</v>
          </cell>
          <cell r="C7">
            <v>19423</v>
          </cell>
          <cell r="F7">
            <v>0</v>
          </cell>
          <cell r="H7">
            <v>500136000</v>
          </cell>
        </row>
        <row r="8">
          <cell r="B8">
            <v>99968</v>
          </cell>
          <cell r="C8">
            <v>109086</v>
          </cell>
          <cell r="F8">
            <v>50000000</v>
          </cell>
          <cell r="H8">
            <v>350000000</v>
          </cell>
        </row>
        <row r="9">
          <cell r="B9">
            <v>103293</v>
          </cell>
          <cell r="C9">
            <v>111193</v>
          </cell>
          <cell r="F9">
            <v>600040000</v>
          </cell>
          <cell r="H9">
            <v>100000000</v>
          </cell>
        </row>
        <row r="10">
          <cell r="B10">
            <v>103293</v>
          </cell>
          <cell r="C10">
            <v>118293</v>
          </cell>
          <cell r="F10">
            <v>300000000</v>
          </cell>
          <cell r="H10">
            <v>300000000</v>
          </cell>
        </row>
        <row r="16">
          <cell r="B16">
            <v>56</v>
          </cell>
          <cell r="C16">
            <v>56</v>
          </cell>
          <cell r="F16">
            <v>1200000000</v>
          </cell>
          <cell r="H16">
            <v>1200000000</v>
          </cell>
        </row>
        <row r="17">
          <cell r="B17">
            <v>56</v>
          </cell>
          <cell r="C17">
            <v>56</v>
          </cell>
          <cell r="F17">
            <v>600000000</v>
          </cell>
          <cell r="H17">
            <v>600000000</v>
          </cell>
        </row>
        <row r="18">
          <cell r="B18">
            <v>50</v>
          </cell>
          <cell r="C18">
            <v>50</v>
          </cell>
          <cell r="F18">
            <v>300000000</v>
          </cell>
          <cell r="H18">
            <v>300000000</v>
          </cell>
        </row>
        <row r="19">
          <cell r="B19">
            <v>9</v>
          </cell>
          <cell r="C19">
            <v>9</v>
          </cell>
          <cell r="F19">
            <v>1250000000</v>
          </cell>
          <cell r="H19">
            <v>1500000000</v>
          </cell>
        </row>
        <row r="20">
          <cell r="B20">
            <v>9</v>
          </cell>
          <cell r="C20">
            <v>9</v>
          </cell>
          <cell r="F20">
            <v>255000000</v>
          </cell>
          <cell r="H20">
            <v>340000000</v>
          </cell>
        </row>
        <row r="21">
          <cell r="B21">
            <v>9</v>
          </cell>
          <cell r="C21">
            <v>9</v>
          </cell>
          <cell r="F21">
            <v>270000000</v>
          </cell>
          <cell r="H21">
            <v>270000000</v>
          </cell>
        </row>
        <row r="22">
          <cell r="B22">
            <v>137</v>
          </cell>
          <cell r="C22">
            <v>205</v>
          </cell>
          <cell r="F22">
            <v>759000000</v>
          </cell>
          <cell r="H22">
            <v>1955000000</v>
          </cell>
        </row>
        <row r="23">
          <cell r="B23">
            <v>137</v>
          </cell>
          <cell r="C23">
            <v>558</v>
          </cell>
          <cell r="F23">
            <v>100000000</v>
          </cell>
          <cell r="H23">
            <v>100000000</v>
          </cell>
        </row>
        <row r="24">
          <cell r="B24">
            <v>183</v>
          </cell>
          <cell r="C24">
            <v>198</v>
          </cell>
          <cell r="F24">
            <v>504000000</v>
          </cell>
          <cell r="H24">
            <v>504000000</v>
          </cell>
        </row>
        <row r="25">
          <cell r="B25">
            <v>183</v>
          </cell>
          <cell r="C25">
            <v>98</v>
          </cell>
          <cell r="F25">
            <v>252000000</v>
          </cell>
          <cell r="H25">
            <v>252000000</v>
          </cell>
        </row>
        <row r="26">
          <cell r="B26">
            <v>26110</v>
          </cell>
          <cell r="C26">
            <v>88610</v>
          </cell>
          <cell r="F26">
            <v>366000000</v>
          </cell>
          <cell r="H26">
            <v>246000000</v>
          </cell>
        </row>
        <row r="27">
          <cell r="B27">
            <v>11</v>
          </cell>
          <cell r="C27">
            <v>21</v>
          </cell>
          <cell r="F27">
            <v>600000000</v>
          </cell>
          <cell r="H27">
            <v>700000000</v>
          </cell>
        </row>
        <row r="33">
          <cell r="B33">
            <v>2132</v>
          </cell>
          <cell r="C33">
            <v>3212</v>
          </cell>
          <cell r="F33">
            <v>815000000</v>
          </cell>
          <cell r="H33">
            <v>585000000</v>
          </cell>
        </row>
        <row r="34">
          <cell r="B34">
            <v>2132</v>
          </cell>
          <cell r="C34">
            <v>2996</v>
          </cell>
          <cell r="F34">
            <v>200000000</v>
          </cell>
          <cell r="H34">
            <v>380000000</v>
          </cell>
        </row>
        <row r="35">
          <cell r="B35">
            <v>30</v>
          </cell>
          <cell r="C35">
            <v>36</v>
          </cell>
          <cell r="F35">
            <v>281000000</v>
          </cell>
          <cell r="H35">
            <v>231000000</v>
          </cell>
        </row>
        <row r="36">
          <cell r="B36">
            <v>30</v>
          </cell>
          <cell r="C36">
            <v>35</v>
          </cell>
          <cell r="F36">
            <v>470000000</v>
          </cell>
          <cell r="H36">
            <v>416500000</v>
          </cell>
        </row>
        <row r="37">
          <cell r="B37">
            <v>5674</v>
          </cell>
          <cell r="C37">
            <v>5674</v>
          </cell>
          <cell r="F37">
            <v>500000000</v>
          </cell>
          <cell r="H37">
            <v>520000000</v>
          </cell>
        </row>
        <row r="43">
          <cell r="B43">
            <v>3</v>
          </cell>
          <cell r="C43">
            <v>3</v>
          </cell>
          <cell r="F43">
            <v>220000000</v>
          </cell>
          <cell r="H43">
            <v>220000000</v>
          </cell>
        </row>
        <row r="44">
          <cell r="B44">
            <v>2</v>
          </cell>
          <cell r="C44">
            <v>2</v>
          </cell>
          <cell r="F44">
            <v>150000000</v>
          </cell>
          <cell r="H44">
            <v>80000000</v>
          </cell>
        </row>
        <row r="45">
          <cell r="B45">
            <v>5</v>
          </cell>
          <cell r="C45">
            <v>5</v>
          </cell>
          <cell r="F45">
            <v>280000000</v>
          </cell>
          <cell r="H45">
            <v>280000000</v>
          </cell>
        </row>
        <row r="46">
          <cell r="B46">
            <v>8</v>
          </cell>
          <cell r="C46">
            <v>8</v>
          </cell>
          <cell r="F46">
            <v>200000000</v>
          </cell>
          <cell r="H46">
            <v>200000000</v>
          </cell>
        </row>
        <row r="47">
          <cell r="B47">
            <v>0</v>
          </cell>
          <cell r="C47">
            <v>1</v>
          </cell>
          <cell r="F47">
            <v>200000000</v>
          </cell>
          <cell r="H47">
            <v>200000000</v>
          </cell>
        </row>
        <row r="48">
          <cell r="B48">
            <v>0</v>
          </cell>
          <cell r="C48">
            <v>1</v>
          </cell>
          <cell r="F48">
            <v>200000000</v>
          </cell>
          <cell r="H48">
            <v>200000000</v>
          </cell>
        </row>
        <row r="49">
          <cell r="B49">
            <v>0</v>
          </cell>
          <cell r="C49">
            <v>15</v>
          </cell>
          <cell r="F49">
            <v>200000000</v>
          </cell>
          <cell r="H49">
            <v>200000000</v>
          </cell>
        </row>
        <row r="55">
          <cell r="B55">
            <v>200</v>
          </cell>
          <cell r="C55">
            <v>110</v>
          </cell>
          <cell r="F55">
            <v>180000000</v>
          </cell>
          <cell r="H55">
            <v>180000000</v>
          </cell>
        </row>
        <row r="56">
          <cell r="B56">
            <v>478</v>
          </cell>
          <cell r="C56">
            <v>978</v>
          </cell>
          <cell r="F56">
            <v>80000000</v>
          </cell>
          <cell r="H56">
            <v>80000000</v>
          </cell>
        </row>
      </sheetData>
      <sheetData sheetId="10" refreshError="1"/>
      <sheetData sheetId="11">
        <row r="2">
          <cell r="G2">
            <v>16</v>
          </cell>
          <cell r="I2">
            <v>5</v>
          </cell>
        </row>
        <row r="3">
          <cell r="G3">
            <v>843</v>
          </cell>
          <cell r="I3">
            <v>127</v>
          </cell>
        </row>
        <row r="4">
          <cell r="G4">
            <v>450</v>
          </cell>
          <cell r="I4">
            <v>0</v>
          </cell>
        </row>
        <row r="5">
          <cell r="G5">
            <v>59</v>
          </cell>
          <cell r="I5">
            <v>81</v>
          </cell>
        </row>
        <row r="6">
          <cell r="G6">
            <v>10</v>
          </cell>
          <cell r="I6">
            <v>10</v>
          </cell>
        </row>
        <row r="7">
          <cell r="G7">
            <v>65</v>
          </cell>
          <cell r="I7">
            <v>55</v>
          </cell>
        </row>
        <row r="8">
          <cell r="G8">
            <v>9</v>
          </cell>
          <cell r="I8">
            <v>12</v>
          </cell>
        </row>
        <row r="9">
          <cell r="G9">
            <v>0</v>
          </cell>
          <cell r="I9">
            <v>4</v>
          </cell>
        </row>
        <row r="10">
          <cell r="G10">
            <v>0</v>
          </cell>
          <cell r="I10">
            <v>3</v>
          </cell>
        </row>
        <row r="11">
          <cell r="G11">
            <v>32</v>
          </cell>
          <cell r="I11">
            <v>27</v>
          </cell>
        </row>
        <row r="12">
          <cell r="G12">
            <v>7</v>
          </cell>
          <cell r="I12">
            <v>6</v>
          </cell>
        </row>
        <row r="13">
          <cell r="G13">
            <v>9</v>
          </cell>
          <cell r="I13">
            <v>10</v>
          </cell>
        </row>
        <row r="14">
          <cell r="I14">
            <v>4</v>
          </cell>
        </row>
        <row r="15">
          <cell r="I15">
            <v>4</v>
          </cell>
        </row>
        <row r="16">
          <cell r="G16">
            <v>0</v>
          </cell>
          <cell r="I16">
            <v>0.2</v>
          </cell>
        </row>
        <row r="17">
          <cell r="I17">
            <v>46</v>
          </cell>
        </row>
        <row r="18">
          <cell r="I18">
            <v>76</v>
          </cell>
        </row>
        <row r="19">
          <cell r="I19">
            <v>8</v>
          </cell>
        </row>
        <row r="20">
          <cell r="G20">
            <v>46</v>
          </cell>
          <cell r="I20">
            <v>15</v>
          </cell>
        </row>
        <row r="21">
          <cell r="G21">
            <v>0.5</v>
          </cell>
          <cell r="I21">
            <v>0.05</v>
          </cell>
        </row>
        <row r="22">
          <cell r="G22">
            <v>0</v>
          </cell>
          <cell r="I22">
            <v>0</v>
          </cell>
        </row>
        <row r="23">
          <cell r="I23">
            <v>9</v>
          </cell>
        </row>
        <row r="24">
          <cell r="I24">
            <v>3</v>
          </cell>
        </row>
        <row r="25">
          <cell r="G25">
            <v>2</v>
          </cell>
          <cell r="I25">
            <v>0</v>
          </cell>
        </row>
        <row r="26">
          <cell r="G26">
            <v>2</v>
          </cell>
          <cell r="I26">
            <v>0</v>
          </cell>
        </row>
        <row r="27">
          <cell r="G27">
            <v>19</v>
          </cell>
          <cell r="I27">
            <v>11</v>
          </cell>
        </row>
        <row r="28">
          <cell r="I28">
            <v>4</v>
          </cell>
        </row>
        <row r="29">
          <cell r="I29">
            <v>0</v>
          </cell>
        </row>
        <row r="30">
          <cell r="G30">
            <v>12</v>
          </cell>
          <cell r="I30">
            <v>0</v>
          </cell>
        </row>
      </sheetData>
      <sheetData sheetId="12" refreshError="1"/>
      <sheetData sheetId="13">
        <row r="2">
          <cell r="M2">
            <v>2174</v>
          </cell>
          <cell r="N2">
            <v>1011</v>
          </cell>
        </row>
        <row r="3">
          <cell r="M3">
            <v>80</v>
          </cell>
          <cell r="N3">
            <v>46</v>
          </cell>
        </row>
        <row r="4">
          <cell r="M4">
            <v>0</v>
          </cell>
          <cell r="N4">
            <v>0</v>
          </cell>
        </row>
        <row r="5">
          <cell r="M5">
            <v>3</v>
          </cell>
          <cell r="N5">
            <v>1</v>
          </cell>
        </row>
        <row r="6">
          <cell r="M6">
            <v>0</v>
          </cell>
          <cell r="N6">
            <v>0</v>
          </cell>
        </row>
        <row r="7">
          <cell r="M7">
            <v>0</v>
          </cell>
          <cell r="N7">
            <v>0</v>
          </cell>
        </row>
        <row r="8">
          <cell r="M8">
            <v>0</v>
          </cell>
          <cell r="N8">
            <v>0</v>
          </cell>
        </row>
        <row r="9">
          <cell r="M9">
            <v>4</v>
          </cell>
          <cell r="N9">
            <v>3</v>
          </cell>
        </row>
        <row r="10">
          <cell r="M10">
            <v>0</v>
          </cell>
          <cell r="N10">
            <v>0</v>
          </cell>
        </row>
        <row r="11">
          <cell r="N11">
            <v>28</v>
          </cell>
        </row>
        <row r="12">
          <cell r="M12">
            <v>66</v>
          </cell>
          <cell r="N12">
            <v>0</v>
          </cell>
        </row>
        <row r="13">
          <cell r="M13">
            <v>18</v>
          </cell>
          <cell r="N13">
            <v>17</v>
          </cell>
        </row>
        <row r="14">
          <cell r="M14">
            <v>8</v>
          </cell>
          <cell r="N14">
            <v>0</v>
          </cell>
        </row>
        <row r="15">
          <cell r="M15">
            <v>0.15</v>
          </cell>
          <cell r="N15">
            <v>0.2</v>
          </cell>
        </row>
        <row r="16">
          <cell r="M16">
            <v>0</v>
          </cell>
          <cell r="N16">
            <v>0</v>
          </cell>
        </row>
        <row r="17">
          <cell r="M17">
            <v>1</v>
          </cell>
        </row>
        <row r="18">
          <cell r="M18">
            <v>0</v>
          </cell>
          <cell r="N18">
            <v>0</v>
          </cell>
        </row>
        <row r="19">
          <cell r="M19">
            <v>16</v>
          </cell>
          <cell r="N19">
            <v>0</v>
          </cell>
        </row>
      </sheetData>
      <sheetData sheetId="14" refreshError="1"/>
      <sheetData sheetId="15">
        <row r="2">
          <cell r="K2">
            <v>9</v>
          </cell>
          <cell r="Q2">
            <v>10</v>
          </cell>
        </row>
        <row r="3">
          <cell r="K3">
            <v>23</v>
          </cell>
          <cell r="Q3">
            <v>19</v>
          </cell>
        </row>
        <row r="4">
          <cell r="K4">
            <v>11</v>
          </cell>
          <cell r="Q4">
            <v>14</v>
          </cell>
        </row>
        <row r="5">
          <cell r="K5">
            <v>1722</v>
          </cell>
          <cell r="Q5">
            <v>480</v>
          </cell>
        </row>
        <row r="6">
          <cell r="Q6">
            <v>85</v>
          </cell>
        </row>
        <row r="7">
          <cell r="Q7">
            <v>36</v>
          </cell>
        </row>
        <row r="8">
          <cell r="K8">
            <v>396</v>
          </cell>
          <cell r="Q8">
            <v>203</v>
          </cell>
        </row>
        <row r="9">
          <cell r="K9">
            <v>0</v>
          </cell>
          <cell r="Q9">
            <v>0</v>
          </cell>
        </row>
        <row r="10">
          <cell r="Q10">
            <v>1684</v>
          </cell>
        </row>
        <row r="11">
          <cell r="K11">
            <v>22</v>
          </cell>
          <cell r="Q11">
            <v>46</v>
          </cell>
        </row>
        <row r="12">
          <cell r="K12">
            <v>1772</v>
          </cell>
          <cell r="Q12">
            <v>1423</v>
          </cell>
        </row>
        <row r="13">
          <cell r="K13">
            <v>0</v>
          </cell>
          <cell r="Q13">
            <v>107</v>
          </cell>
        </row>
        <row r="14">
          <cell r="K14">
            <v>1453</v>
          </cell>
          <cell r="Q14">
            <v>2923</v>
          </cell>
        </row>
        <row r="15">
          <cell r="K15">
            <v>50</v>
          </cell>
          <cell r="Q15">
            <v>1400</v>
          </cell>
        </row>
        <row r="16">
          <cell r="K16">
            <v>1621</v>
          </cell>
          <cell r="Q16">
            <v>484</v>
          </cell>
        </row>
        <row r="17">
          <cell r="K17">
            <v>247</v>
          </cell>
          <cell r="Q17">
            <v>0</v>
          </cell>
        </row>
        <row r="18">
          <cell r="K18">
            <v>104</v>
          </cell>
          <cell r="Q18">
            <v>58</v>
          </cell>
        </row>
        <row r="19">
          <cell r="K19">
            <v>42</v>
          </cell>
          <cell r="Q19">
            <v>13</v>
          </cell>
        </row>
        <row r="20">
          <cell r="K20">
            <v>455</v>
          </cell>
          <cell r="Q20">
            <v>73</v>
          </cell>
        </row>
        <row r="21">
          <cell r="K21">
            <v>778</v>
          </cell>
          <cell r="Q21">
            <v>196</v>
          </cell>
        </row>
        <row r="22">
          <cell r="K22">
            <v>564</v>
          </cell>
          <cell r="Q22">
            <v>429</v>
          </cell>
        </row>
        <row r="23">
          <cell r="K23">
            <v>1</v>
          </cell>
          <cell r="Q23">
            <v>1</v>
          </cell>
        </row>
        <row r="24">
          <cell r="K24">
            <v>2</v>
          </cell>
          <cell r="Q24">
            <v>0</v>
          </cell>
        </row>
        <row r="25">
          <cell r="K25">
            <v>222</v>
          </cell>
          <cell r="Q25">
            <v>0</v>
          </cell>
        </row>
        <row r="26">
          <cell r="K26">
            <v>0</v>
          </cell>
          <cell r="Q26">
            <v>0</v>
          </cell>
        </row>
        <row r="27">
          <cell r="K27">
            <v>4</v>
          </cell>
          <cell r="Q27">
            <v>4</v>
          </cell>
        </row>
        <row r="28">
          <cell r="K28">
            <v>0</v>
          </cell>
          <cell r="Q28">
            <v>0</v>
          </cell>
        </row>
        <row r="29">
          <cell r="K29">
            <v>38</v>
          </cell>
          <cell r="Q29">
            <v>38</v>
          </cell>
        </row>
        <row r="30">
          <cell r="K30">
            <v>0</v>
          </cell>
          <cell r="Q30">
            <v>0</v>
          </cell>
        </row>
        <row r="31">
          <cell r="K31">
            <v>0</v>
          </cell>
          <cell r="Q31">
            <v>0</v>
          </cell>
        </row>
        <row r="32">
          <cell r="K32">
            <v>4</v>
          </cell>
          <cell r="Q32">
            <v>2</v>
          </cell>
        </row>
        <row r="33">
          <cell r="K33">
            <v>0</v>
          </cell>
          <cell r="Q33">
            <v>0</v>
          </cell>
        </row>
        <row r="34">
          <cell r="K34">
            <v>4</v>
          </cell>
          <cell r="Q34">
            <v>1</v>
          </cell>
        </row>
        <row r="35">
          <cell r="K35">
            <v>0</v>
          </cell>
          <cell r="Q35">
            <v>0</v>
          </cell>
        </row>
        <row r="36">
          <cell r="K36">
            <v>22</v>
          </cell>
          <cell r="Q36">
            <v>12</v>
          </cell>
        </row>
        <row r="37">
          <cell r="K37">
            <v>42308</v>
          </cell>
          <cell r="Q37">
            <v>123383</v>
          </cell>
        </row>
        <row r="38">
          <cell r="K38">
            <v>3</v>
          </cell>
          <cell r="Q38">
            <v>3</v>
          </cell>
        </row>
        <row r="39">
          <cell r="K39">
            <v>0</v>
          </cell>
          <cell r="Q39">
            <v>0</v>
          </cell>
        </row>
        <row r="40">
          <cell r="K40">
            <v>5</v>
          </cell>
          <cell r="Q40">
            <v>5</v>
          </cell>
        </row>
        <row r="41">
          <cell r="K41">
            <v>179</v>
          </cell>
          <cell r="Q41">
            <v>0</v>
          </cell>
        </row>
        <row r="42">
          <cell r="K42">
            <v>5512</v>
          </cell>
          <cell r="Q42">
            <v>830</v>
          </cell>
        </row>
        <row r="43">
          <cell r="K43">
            <v>263</v>
          </cell>
          <cell r="Q43">
            <v>136</v>
          </cell>
        </row>
        <row r="44">
          <cell r="K44">
            <v>1503</v>
          </cell>
          <cell r="Q44">
            <v>738</v>
          </cell>
        </row>
        <row r="45">
          <cell r="K45">
            <v>116</v>
          </cell>
          <cell r="Q45">
            <v>63</v>
          </cell>
        </row>
        <row r="46">
          <cell r="K46">
            <v>20</v>
          </cell>
          <cell r="Q46">
            <v>11</v>
          </cell>
        </row>
        <row r="47">
          <cell r="K47">
            <v>1</v>
          </cell>
          <cell r="Q47">
            <v>0</v>
          </cell>
        </row>
        <row r="48">
          <cell r="K48">
            <v>0.15</v>
          </cell>
          <cell r="Q48">
            <v>0.1</v>
          </cell>
        </row>
        <row r="49">
          <cell r="K49">
            <v>2</v>
          </cell>
          <cell r="Q49">
            <v>0</v>
          </cell>
        </row>
        <row r="50">
          <cell r="K50">
            <v>2</v>
          </cell>
          <cell r="Q50">
            <v>0</v>
          </cell>
        </row>
        <row r="51">
          <cell r="K51">
            <v>0.45</v>
          </cell>
          <cell r="Q51">
            <v>0</v>
          </cell>
        </row>
        <row r="52">
          <cell r="K52">
            <v>271</v>
          </cell>
          <cell r="Q52">
            <v>256</v>
          </cell>
        </row>
      </sheetData>
      <sheetData sheetId="16" refreshError="1"/>
      <sheetData sheetId="17" refreshError="1"/>
      <sheetData sheetId="18">
        <row r="2">
          <cell r="O2">
            <v>134</v>
          </cell>
          <cell r="AD2">
            <v>0</v>
          </cell>
        </row>
        <row r="3">
          <cell r="O3">
            <v>51</v>
          </cell>
          <cell r="AD3">
            <v>0</v>
          </cell>
        </row>
        <row r="4">
          <cell r="O4">
            <v>2931</v>
          </cell>
          <cell r="AD4">
            <v>152</v>
          </cell>
        </row>
        <row r="5">
          <cell r="O5">
            <v>0</v>
          </cell>
          <cell r="AD5">
            <v>7</v>
          </cell>
        </row>
        <row r="6">
          <cell r="O6">
            <v>0</v>
          </cell>
          <cell r="AD6">
            <v>8</v>
          </cell>
        </row>
        <row r="7">
          <cell r="O7">
            <v>0</v>
          </cell>
          <cell r="AD7">
            <v>9</v>
          </cell>
        </row>
        <row r="8">
          <cell r="O8">
            <v>2295</v>
          </cell>
          <cell r="AD8">
            <v>785</v>
          </cell>
        </row>
        <row r="9">
          <cell r="O9">
            <v>91</v>
          </cell>
          <cell r="AD9">
            <v>44</v>
          </cell>
        </row>
        <row r="10">
          <cell r="O10">
            <v>105</v>
          </cell>
          <cell r="AD10">
            <v>46</v>
          </cell>
        </row>
        <row r="11">
          <cell r="O11">
            <v>56</v>
          </cell>
          <cell r="AD11">
            <v>74</v>
          </cell>
        </row>
        <row r="12">
          <cell r="O12">
            <v>159</v>
          </cell>
          <cell r="AD12">
            <v>16</v>
          </cell>
        </row>
        <row r="13">
          <cell r="O13">
            <v>631</v>
          </cell>
          <cell r="AD13">
            <v>239</v>
          </cell>
        </row>
        <row r="14">
          <cell r="O14">
            <v>13</v>
          </cell>
          <cell r="AD14">
            <v>5</v>
          </cell>
        </row>
        <row r="15">
          <cell r="O15">
            <v>118</v>
          </cell>
          <cell r="AD15">
            <v>51</v>
          </cell>
        </row>
        <row r="16">
          <cell r="O16">
            <v>2668</v>
          </cell>
          <cell r="AD16">
            <v>1341</v>
          </cell>
        </row>
        <row r="17">
          <cell r="O17">
            <v>500</v>
          </cell>
          <cell r="AD17">
            <v>346</v>
          </cell>
        </row>
        <row r="18">
          <cell r="O18">
            <v>3856</v>
          </cell>
          <cell r="AD18">
            <v>0</v>
          </cell>
        </row>
        <row r="19">
          <cell r="O19">
            <v>1200</v>
          </cell>
          <cell r="AD19">
            <v>6000</v>
          </cell>
        </row>
        <row r="20">
          <cell r="O20">
            <v>7354</v>
          </cell>
          <cell r="AD20">
            <v>1081</v>
          </cell>
        </row>
      </sheetData>
      <sheetData sheetId="19" refreshError="1"/>
      <sheetData sheetId="20">
        <row r="2">
          <cell r="O2">
            <v>0</v>
          </cell>
          <cell r="AD2">
            <v>2072.5500000000002</v>
          </cell>
        </row>
        <row r="3">
          <cell r="O3">
            <v>0</v>
          </cell>
          <cell r="AD3">
            <v>0</v>
          </cell>
        </row>
        <row r="4">
          <cell r="O4">
            <v>0</v>
          </cell>
          <cell r="AD4">
            <v>0</v>
          </cell>
        </row>
        <row r="5">
          <cell r="O5">
            <v>176</v>
          </cell>
          <cell r="AD5">
            <v>0</v>
          </cell>
        </row>
        <row r="6">
          <cell r="O6">
            <v>1100</v>
          </cell>
          <cell r="AD6">
            <v>0</v>
          </cell>
        </row>
        <row r="7">
          <cell r="O7">
            <v>16</v>
          </cell>
          <cell r="AD7">
            <v>3</v>
          </cell>
        </row>
        <row r="8">
          <cell r="O8">
            <v>0</v>
          </cell>
          <cell r="AD8">
            <v>2</v>
          </cell>
        </row>
        <row r="9">
          <cell r="O9">
            <v>0</v>
          </cell>
          <cell r="AD9">
            <v>0</v>
          </cell>
        </row>
        <row r="10">
          <cell r="O10">
            <v>8</v>
          </cell>
          <cell r="AD10">
            <v>1</v>
          </cell>
        </row>
        <row r="11">
          <cell r="O11">
            <v>2</v>
          </cell>
          <cell r="AD11">
            <v>1</v>
          </cell>
        </row>
        <row r="12">
          <cell r="O12">
            <v>4</v>
          </cell>
          <cell r="AD12">
            <v>0</v>
          </cell>
        </row>
        <row r="13">
          <cell r="O13">
            <v>8</v>
          </cell>
          <cell r="AD13">
            <v>0</v>
          </cell>
        </row>
        <row r="14">
          <cell r="O14">
            <v>0</v>
          </cell>
          <cell r="AD14">
            <v>0</v>
          </cell>
        </row>
        <row r="15">
          <cell r="O15">
            <v>14</v>
          </cell>
          <cell r="AD15">
            <v>0</v>
          </cell>
        </row>
        <row r="16">
          <cell r="O16">
            <v>103</v>
          </cell>
          <cell r="AD16">
            <v>0</v>
          </cell>
        </row>
        <row r="17">
          <cell r="O17">
            <v>1069</v>
          </cell>
          <cell r="AD17">
            <v>347</v>
          </cell>
        </row>
        <row r="18">
          <cell r="O18">
            <v>9</v>
          </cell>
          <cell r="AD18">
            <v>5</v>
          </cell>
        </row>
        <row r="19">
          <cell r="O19">
            <v>1744</v>
          </cell>
          <cell r="AD19">
            <v>44</v>
          </cell>
        </row>
        <row r="20">
          <cell r="O20">
            <v>666</v>
          </cell>
          <cell r="AD20">
            <v>645</v>
          </cell>
        </row>
        <row r="21">
          <cell r="O21">
            <v>18</v>
          </cell>
          <cell r="AD21">
            <v>2</v>
          </cell>
        </row>
        <row r="22">
          <cell r="O22">
            <v>428</v>
          </cell>
          <cell r="AD22">
            <v>420</v>
          </cell>
        </row>
        <row r="23">
          <cell r="O23">
            <v>609</v>
          </cell>
          <cell r="AD23">
            <v>1</v>
          </cell>
        </row>
        <row r="24">
          <cell r="O24">
            <v>1</v>
          </cell>
          <cell r="AD24">
            <v>1</v>
          </cell>
        </row>
        <row r="25">
          <cell r="O25">
            <v>0</v>
          </cell>
          <cell r="AD25">
            <v>0</v>
          </cell>
        </row>
        <row r="26">
          <cell r="O26">
            <v>1</v>
          </cell>
          <cell r="AD26">
            <v>1</v>
          </cell>
        </row>
        <row r="27">
          <cell r="O27">
            <v>1</v>
          </cell>
          <cell r="AD27">
            <v>1</v>
          </cell>
        </row>
        <row r="28">
          <cell r="O28">
            <v>0</v>
          </cell>
          <cell r="AD28">
            <v>0</v>
          </cell>
        </row>
        <row r="29">
          <cell r="O29">
            <v>0</v>
          </cell>
          <cell r="AD29">
            <v>0</v>
          </cell>
        </row>
        <row r="30">
          <cell r="O30">
            <v>0</v>
          </cell>
          <cell r="AD30">
            <v>2</v>
          </cell>
        </row>
        <row r="31">
          <cell r="O31">
            <v>49</v>
          </cell>
          <cell r="AD31">
            <v>12</v>
          </cell>
        </row>
        <row r="32">
          <cell r="O32">
            <v>316</v>
          </cell>
          <cell r="AD32">
            <v>790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-4 2020 PROY"/>
      <sheetName val="T-4 2020 ACC"/>
      <sheetName val="EV_ROYECTOS"/>
      <sheetName val="EV_ACCIONES"/>
      <sheetName val="INDICES IPC"/>
      <sheetName val="SF"/>
      <sheetName val="SI"/>
      <sheetName val="SP"/>
      <sheetName val="SB"/>
      <sheetName val="SA"/>
    </sheetNames>
    <sheetDataSet>
      <sheetData sheetId="0"/>
      <sheetData sheetId="1"/>
      <sheetData sheetId="2"/>
      <sheetData sheetId="3">
        <row r="7">
          <cell r="I7">
            <v>47706306</v>
          </cell>
        </row>
        <row r="8">
          <cell r="I8">
            <v>28329010</v>
          </cell>
        </row>
        <row r="9">
          <cell r="I9">
            <v>0</v>
          </cell>
        </row>
        <row r="10">
          <cell r="I10">
            <v>22936666</v>
          </cell>
        </row>
        <row r="11">
          <cell r="I11">
            <v>35000000</v>
          </cell>
        </row>
        <row r="12">
          <cell r="I12">
            <v>92224539</v>
          </cell>
        </row>
        <row r="13">
          <cell r="I13">
            <v>0</v>
          </cell>
        </row>
        <row r="14">
          <cell r="I14">
            <v>135950478</v>
          </cell>
        </row>
        <row r="15">
          <cell r="I15">
            <v>0</v>
          </cell>
        </row>
        <row r="16">
          <cell r="I16">
            <v>204264099</v>
          </cell>
        </row>
        <row r="17">
          <cell r="I17">
            <v>17933333</v>
          </cell>
        </row>
        <row r="18">
          <cell r="I18">
            <v>184319752</v>
          </cell>
        </row>
        <row r="19">
          <cell r="I19">
            <v>3000000</v>
          </cell>
        </row>
        <row r="20">
          <cell r="I20">
            <v>112115600</v>
          </cell>
        </row>
        <row r="21">
          <cell r="I21">
            <v>4380000</v>
          </cell>
        </row>
        <row r="22">
          <cell r="I22">
            <v>11991666</v>
          </cell>
        </row>
        <row r="23">
          <cell r="I23">
            <v>68836026</v>
          </cell>
        </row>
        <row r="24">
          <cell r="I24">
            <v>7513333</v>
          </cell>
        </row>
        <row r="25">
          <cell r="I25">
            <v>27699995</v>
          </cell>
        </row>
        <row r="26">
          <cell r="I26">
            <v>0</v>
          </cell>
        </row>
        <row r="27">
          <cell r="I27">
            <v>38460558</v>
          </cell>
        </row>
        <row r="28">
          <cell r="I28">
            <v>3448820</v>
          </cell>
        </row>
        <row r="29">
          <cell r="I29">
            <v>359633698</v>
          </cell>
        </row>
        <row r="30">
          <cell r="I30">
            <v>169367461</v>
          </cell>
        </row>
        <row r="31">
          <cell r="I31">
            <v>7200000</v>
          </cell>
        </row>
        <row r="32">
          <cell r="I32">
            <v>0</v>
          </cell>
        </row>
        <row r="33">
          <cell r="I33">
            <v>200964695</v>
          </cell>
        </row>
        <row r="34">
          <cell r="I34">
            <v>14546513</v>
          </cell>
        </row>
        <row r="35">
          <cell r="I35">
            <v>10660000</v>
          </cell>
        </row>
        <row r="36">
          <cell r="I36">
            <v>13022394</v>
          </cell>
        </row>
        <row r="37">
          <cell r="I37">
            <v>259907241</v>
          </cell>
        </row>
        <row r="38">
          <cell r="I38">
            <v>175390728</v>
          </cell>
        </row>
        <row r="39">
          <cell r="I39">
            <v>50054458</v>
          </cell>
        </row>
        <row r="40">
          <cell r="I40">
            <v>19971338</v>
          </cell>
        </row>
        <row r="41">
          <cell r="I41">
            <v>36008597</v>
          </cell>
        </row>
        <row r="42">
          <cell r="I42">
            <v>152121003</v>
          </cell>
        </row>
        <row r="43">
          <cell r="I43">
            <v>325140878</v>
          </cell>
        </row>
        <row r="44">
          <cell r="I44">
            <v>33666995</v>
          </cell>
        </row>
        <row r="45">
          <cell r="I45">
            <v>12688073</v>
          </cell>
        </row>
        <row r="46">
          <cell r="I46">
            <v>2834015801</v>
          </cell>
        </row>
        <row r="47">
          <cell r="I47">
            <v>110707895</v>
          </cell>
        </row>
        <row r="48">
          <cell r="I48">
            <v>129982612</v>
          </cell>
        </row>
        <row r="49">
          <cell r="I49">
            <v>130569552</v>
          </cell>
        </row>
        <row r="50">
          <cell r="I50">
            <v>21347400</v>
          </cell>
        </row>
        <row r="51">
          <cell r="I51">
            <v>63602575</v>
          </cell>
        </row>
        <row r="52">
          <cell r="I52">
            <v>2694669</v>
          </cell>
        </row>
        <row r="53">
          <cell r="I53">
            <v>41249844</v>
          </cell>
        </row>
        <row r="54">
          <cell r="I54">
            <v>179406022</v>
          </cell>
        </row>
        <row r="55">
          <cell r="I55">
            <v>29093332</v>
          </cell>
        </row>
        <row r="56">
          <cell r="I56">
            <v>0</v>
          </cell>
        </row>
        <row r="57">
          <cell r="I57">
            <v>41347587</v>
          </cell>
        </row>
        <row r="58">
          <cell r="I58">
            <v>21120266</v>
          </cell>
        </row>
        <row r="59">
          <cell r="I59">
            <v>48306460</v>
          </cell>
        </row>
        <row r="60">
          <cell r="I60">
            <v>42339999</v>
          </cell>
        </row>
        <row r="61">
          <cell r="I61">
            <v>37086665</v>
          </cell>
        </row>
        <row r="62">
          <cell r="I62">
            <v>902329092</v>
          </cell>
        </row>
        <row r="63">
          <cell r="I63">
            <v>0</v>
          </cell>
        </row>
        <row r="64">
          <cell r="I64">
            <v>56964827</v>
          </cell>
        </row>
        <row r="65">
          <cell r="I65">
            <v>185323761</v>
          </cell>
        </row>
        <row r="66">
          <cell r="I66">
            <v>73881730</v>
          </cell>
        </row>
        <row r="67">
          <cell r="I67">
            <v>109399310</v>
          </cell>
        </row>
        <row r="68">
          <cell r="I68">
            <v>103943013</v>
          </cell>
        </row>
        <row r="69">
          <cell r="I69">
            <v>61984844</v>
          </cell>
        </row>
        <row r="70">
          <cell r="I70">
            <v>154415995</v>
          </cell>
        </row>
        <row r="71">
          <cell r="I71">
            <v>93371380</v>
          </cell>
        </row>
        <row r="72">
          <cell r="I72">
            <v>4000000</v>
          </cell>
        </row>
        <row r="73">
          <cell r="I73">
            <v>7999995</v>
          </cell>
        </row>
        <row r="74">
          <cell r="I74">
            <v>12698302</v>
          </cell>
        </row>
        <row r="75">
          <cell r="I75">
            <v>91098665</v>
          </cell>
        </row>
        <row r="76">
          <cell r="I76">
            <v>57106666</v>
          </cell>
        </row>
        <row r="77">
          <cell r="I77">
            <v>14740001</v>
          </cell>
        </row>
        <row r="78">
          <cell r="I78">
            <v>46350000</v>
          </cell>
        </row>
        <row r="79">
          <cell r="I79">
            <v>0</v>
          </cell>
        </row>
        <row r="80">
          <cell r="I80">
            <v>0</v>
          </cell>
        </row>
        <row r="81">
          <cell r="I81">
            <v>11960000</v>
          </cell>
        </row>
        <row r="82">
          <cell r="I82">
            <v>69296661</v>
          </cell>
        </row>
        <row r="83">
          <cell r="I83">
            <v>46825611</v>
          </cell>
        </row>
        <row r="84">
          <cell r="I84">
            <v>204443323</v>
          </cell>
        </row>
        <row r="85">
          <cell r="I85">
            <v>0</v>
          </cell>
        </row>
        <row r="86">
          <cell r="I86">
            <v>124536666</v>
          </cell>
        </row>
        <row r="87">
          <cell r="I87">
            <v>222996236</v>
          </cell>
        </row>
        <row r="88">
          <cell r="I88">
            <v>27307638</v>
          </cell>
        </row>
        <row r="89">
          <cell r="I89">
            <v>64076666</v>
          </cell>
        </row>
        <row r="90">
          <cell r="I90">
            <v>2798880</v>
          </cell>
        </row>
        <row r="91">
          <cell r="I91">
            <v>64656663</v>
          </cell>
        </row>
        <row r="92">
          <cell r="I92">
            <v>134198180</v>
          </cell>
        </row>
        <row r="93">
          <cell r="I93">
            <v>643590381</v>
          </cell>
        </row>
        <row r="94">
          <cell r="I94">
            <v>188949995</v>
          </cell>
        </row>
        <row r="95">
          <cell r="I95">
            <v>3898301544</v>
          </cell>
        </row>
        <row r="96">
          <cell r="I96">
            <v>0</v>
          </cell>
        </row>
        <row r="97">
          <cell r="I97">
            <v>0</v>
          </cell>
        </row>
        <row r="98">
          <cell r="I98">
            <v>42171306</v>
          </cell>
        </row>
        <row r="99">
          <cell r="I99">
            <v>97428169</v>
          </cell>
        </row>
        <row r="100">
          <cell r="I100">
            <v>924874281</v>
          </cell>
        </row>
        <row r="101">
          <cell r="I101">
            <v>0</v>
          </cell>
        </row>
        <row r="102">
          <cell r="I102">
            <v>63125295</v>
          </cell>
        </row>
        <row r="103">
          <cell r="I103">
            <v>404649752</v>
          </cell>
        </row>
        <row r="104">
          <cell r="I104">
            <v>105719300</v>
          </cell>
        </row>
        <row r="105">
          <cell r="I105">
            <v>66975273</v>
          </cell>
        </row>
        <row r="106">
          <cell r="I106">
            <v>140419287</v>
          </cell>
        </row>
        <row r="107">
          <cell r="I107">
            <v>0</v>
          </cell>
        </row>
        <row r="108">
          <cell r="I108">
            <v>150910366</v>
          </cell>
        </row>
        <row r="109">
          <cell r="I109">
            <v>0</v>
          </cell>
        </row>
        <row r="110">
          <cell r="I110">
            <v>262540810</v>
          </cell>
        </row>
        <row r="111">
          <cell r="I111">
            <v>620000000</v>
          </cell>
        </row>
        <row r="112">
          <cell r="I112">
            <v>708915716</v>
          </cell>
        </row>
        <row r="113">
          <cell r="I113">
            <v>89696319</v>
          </cell>
        </row>
        <row r="114">
          <cell r="I114">
            <v>209205159</v>
          </cell>
        </row>
        <row r="115">
          <cell r="I115">
            <v>379944264</v>
          </cell>
        </row>
        <row r="116">
          <cell r="I116">
            <v>607728970</v>
          </cell>
        </row>
        <row r="117">
          <cell r="I117">
            <v>198628345</v>
          </cell>
        </row>
        <row r="118">
          <cell r="I118">
            <v>10000000</v>
          </cell>
        </row>
        <row r="119">
          <cell r="I119">
            <v>216133332</v>
          </cell>
        </row>
        <row r="120">
          <cell r="I120">
            <v>129799999</v>
          </cell>
        </row>
        <row r="121">
          <cell r="I121">
            <v>70210912</v>
          </cell>
        </row>
        <row r="122">
          <cell r="I122">
            <v>11690000</v>
          </cell>
        </row>
        <row r="123">
          <cell r="I123">
            <v>182163333</v>
          </cell>
        </row>
        <row r="124">
          <cell r="I124">
            <v>15951240</v>
          </cell>
        </row>
        <row r="125">
          <cell r="I125">
            <v>32751961</v>
          </cell>
        </row>
      </sheetData>
      <sheetData sheetId="4"/>
      <sheetData sheetId="5">
        <row r="6">
          <cell r="D6" t="str">
            <v>PERSONAS</v>
          </cell>
        </row>
        <row r="7">
          <cell r="D7" t="str">
            <v>PERSONAS</v>
          </cell>
        </row>
        <row r="13">
          <cell r="D13" t="str">
            <v>PROGRAMAS ACADÉMICOS</v>
          </cell>
        </row>
        <row r="14">
          <cell r="D14" t="str">
            <v>PROGRAMAS ACADÉMICOS</v>
          </cell>
        </row>
        <row r="15">
          <cell r="D15" t="str">
            <v>PROGRAMAS ACADÉMICOS</v>
          </cell>
        </row>
        <row r="16">
          <cell r="D16" t="str">
            <v>PROGRAMAS ACADÉMICOS</v>
          </cell>
        </row>
        <row r="22">
          <cell r="D22" t="str">
            <v>DOCENTES</v>
          </cell>
        </row>
        <row r="23">
          <cell r="D23" t="str">
            <v>DOCENTES</v>
          </cell>
        </row>
        <row r="24">
          <cell r="D24" t="str">
            <v>DOCENTES</v>
          </cell>
        </row>
        <row r="25">
          <cell r="D25" t="str">
            <v>DOCENTES</v>
          </cell>
        </row>
        <row r="26">
          <cell r="D26" t="str">
            <v>DOCENTES</v>
          </cell>
        </row>
        <row r="32">
          <cell r="D32" t="str">
            <v>PROCESOS</v>
          </cell>
        </row>
        <row r="33">
          <cell r="D33" t="str">
            <v>PROCESOS</v>
          </cell>
        </row>
        <row r="34">
          <cell r="D34" t="str">
            <v>RESOLUCIÓN ACREDITACIÓN</v>
          </cell>
        </row>
        <row r="40">
          <cell r="D40" t="str">
            <v># ESTUDIANTES</v>
          </cell>
        </row>
        <row r="46">
          <cell r="D46" t="str">
            <v xml:space="preserve">GRADUADOS </v>
          </cell>
        </row>
        <row r="47">
          <cell r="D47" t="str">
            <v xml:space="preserve">GRADUADOS </v>
          </cell>
        </row>
        <row r="48">
          <cell r="D48" t="str">
            <v xml:space="preserve">GRADUADOS </v>
          </cell>
        </row>
      </sheetData>
      <sheetData sheetId="6">
        <row r="6">
          <cell r="A6" t="str">
            <v>SI-PY.1.1 Talleres de formación</v>
          </cell>
          <cell r="D6" t="str">
            <v># talleres</v>
          </cell>
        </row>
        <row r="7">
          <cell r="D7" t="str">
            <v xml:space="preserve"># personas </v>
          </cell>
        </row>
        <row r="8">
          <cell r="A8" t="str">
            <v>SI-PY.1.2 Grupos escolares</v>
          </cell>
          <cell r="D8" t="str">
            <v># niños (personas)</v>
          </cell>
        </row>
        <row r="14">
          <cell r="A14" t="str">
            <v>SI-PY.2.1 Semilleros</v>
          </cell>
          <cell r="D14" t="str">
            <v># proyectos</v>
          </cell>
        </row>
        <row r="15">
          <cell r="A15" t="str">
            <v>SI-PY.2.2 Trabajos de grado</v>
          </cell>
          <cell r="D15" t="str">
            <v># proyectos</v>
          </cell>
        </row>
        <row r="16">
          <cell r="A16" t="str">
            <v>SI-PY.2.3 Menor cuantía</v>
          </cell>
          <cell r="D16" t="str">
            <v># proyectos</v>
          </cell>
        </row>
        <row r="17">
          <cell r="A17" t="str">
            <v>SI-PY.2.4 Mediana cuantía</v>
          </cell>
          <cell r="D17" t="str">
            <v># proyectos</v>
          </cell>
        </row>
        <row r="18">
          <cell r="A18" t="str">
            <v>SI-PY.2.5 Mayor cuantía</v>
          </cell>
          <cell r="D18" t="str">
            <v># proyectos</v>
          </cell>
        </row>
        <row r="19">
          <cell r="A19" t="str">
            <v>SI-PY.2.6 Doctorados</v>
          </cell>
          <cell r="D19" t="str">
            <v># proyectos</v>
          </cell>
        </row>
        <row r="20">
          <cell r="A20" t="str">
            <v>SI-PY.2.7 Jovenes Investigadores</v>
          </cell>
          <cell r="D20" t="str">
            <v># proyectos</v>
          </cell>
        </row>
        <row r="26">
          <cell r="A26" t="str">
            <v>SI-PY.3.1 Eventos académico- científicos</v>
          </cell>
          <cell r="D26" t="str">
            <v># eventos académico-científicos</v>
          </cell>
        </row>
        <row r="27">
          <cell r="A27" t="str">
            <v>SI-PY.3.2 Ponencias</v>
          </cell>
          <cell r="D27" t="str">
            <v># ponencias  a nivel nacional e intrernacional</v>
          </cell>
        </row>
        <row r="28">
          <cell r="A28" t="str">
            <v>SI-PY.3.3 Vinculación y Desarrollo en redes académicas, científicas e investigativas</v>
          </cell>
          <cell r="D28" t="str">
            <v># de Redes</v>
          </cell>
        </row>
        <row r="29">
          <cell r="A29" t="str">
            <v>SI-PY.3.4 Fortalecimiento de los Centros  e Institutos de Investigación</v>
          </cell>
          <cell r="D29" t="str">
            <v># Centros de Investigación</v>
          </cell>
        </row>
        <row r="30">
          <cell r="D30" t="str">
            <v># Instituto de Investigación</v>
          </cell>
        </row>
        <row r="31">
          <cell r="A31" t="str">
            <v>SI-PY.3.5 Fortalecimiento de los Grupos e Investigadores</v>
          </cell>
          <cell r="D31" t="str">
            <v># Grupos categorizados</v>
          </cell>
        </row>
        <row r="32">
          <cell r="D32" t="str">
            <v># Docentes categorizados</v>
          </cell>
        </row>
        <row r="33">
          <cell r="A33" t="str">
            <v>SI-PY.3.6 Vigilancia Tecnológica</v>
          </cell>
          <cell r="D33" t="str">
            <v>No. de procesos vigilados</v>
          </cell>
        </row>
        <row r="34">
          <cell r="A34" t="str">
            <v>SI-PY.3.7 Artículos en Revistas Indexadas</v>
          </cell>
          <cell r="D34" t="str">
            <v># Artículos</v>
          </cell>
        </row>
        <row r="35">
          <cell r="A35" t="str">
            <v>SI-PY.3.8 Consolidación e Implementación del Plan Estratégico de Ciencia, Tecnología e Innovación -PECTI</v>
          </cell>
          <cell r="D35" t="str">
            <v>Documento Aprobado por Consejo Superior</v>
          </cell>
        </row>
        <row r="36">
          <cell r="D36" t="str">
            <v># de Estrategias implementadas</v>
          </cell>
        </row>
        <row r="37">
          <cell r="A37" t="str">
            <v>SI-PY.3.9 Apoyo laboratorios de investigación</v>
          </cell>
          <cell r="D37" t="str">
            <v># Laboratorios apoyados</v>
          </cell>
        </row>
        <row r="38">
          <cell r="A38" t="str">
            <v>SI-PY.3.10 Apoyo al desarrollo de doctorados</v>
          </cell>
          <cell r="D38" t="str">
            <v># Programas de Doctorado</v>
          </cell>
        </row>
        <row r="44">
          <cell r="A44" t="str">
            <v>SI-PY.4.1 Registro</v>
          </cell>
          <cell r="D44" t="str">
            <v># Registros</v>
          </cell>
        </row>
        <row r="45">
          <cell r="A45" t="str">
            <v>SI-PY.4.2 Validación</v>
          </cell>
          <cell r="D45" t="str">
            <v># Validaciones</v>
          </cell>
        </row>
        <row r="51">
          <cell r="A51" t="str">
            <v>SI-PY.5.1 Desarrollo de proyectos</v>
          </cell>
          <cell r="D51" t="str">
            <v xml:space="preserve"># Proyectos con cofinanciación </v>
          </cell>
        </row>
        <row r="57">
          <cell r="A57" t="str">
            <v xml:space="preserve">SI-PY.6.1 Procesos editoriales </v>
          </cell>
          <cell r="D57" t="str">
            <v># Revistas</v>
          </cell>
        </row>
        <row r="58">
          <cell r="A58" t="str">
            <v>SI-PY.6.2 Revistas Científicas</v>
          </cell>
          <cell r="D58" t="str">
            <v># Revistas indexadas</v>
          </cell>
        </row>
        <row r="59">
          <cell r="A59" t="str">
            <v>SI-PY.6.3 Publicación de libros desde la Editorial de la Universidad</v>
          </cell>
          <cell r="D59" t="str">
            <v># Libros</v>
          </cell>
        </row>
      </sheetData>
      <sheetData sheetId="7">
        <row r="6">
          <cell r="A6" t="str">
            <v>SP-PY.1.1 Fortalecimiento de la gestión de la Internacionalización</v>
          </cell>
          <cell r="D6" t="str">
            <v>Proyectos</v>
          </cell>
        </row>
        <row r="7">
          <cell r="A7" t="str">
            <v>SP-PY.1.2 Fomento a la internacionalización en casa</v>
          </cell>
          <cell r="D7" t="str">
            <v>Eventos</v>
          </cell>
        </row>
        <row r="8">
          <cell r="A8" t="str">
            <v>SP-PY.1.3 Fortalecimiento de la articulación interinstitucional</v>
          </cell>
          <cell r="D8" t="str">
            <v>Proyectos</v>
          </cell>
        </row>
        <row r="9">
          <cell r="A9" t="str">
            <v>SP-PY.1.4 Fortalecimiento de la movilidad académica e investigativa</v>
          </cell>
          <cell r="D9" t="str">
            <v>Movilidades apoyadas</v>
          </cell>
        </row>
        <row r="15">
          <cell r="A15" t="str">
            <v>SP-PY.2.1 Operación y desarrollo del Centro de Emprendimiento e Innovación</v>
          </cell>
          <cell r="D15" t="str">
            <v>Número de iniciativas emprendedoras registradas</v>
          </cell>
        </row>
        <row r="16">
          <cell r="D16" t="str">
            <v>Número de eventos por año</v>
          </cell>
        </row>
        <row r="17">
          <cell r="D17" t="str">
            <v>No. de acompañamientos</v>
          </cell>
        </row>
        <row r="18">
          <cell r="D18" t="str">
            <v>Numero de patentes valoradas</v>
          </cell>
        </row>
        <row r="19">
          <cell r="A19" t="str">
            <v xml:space="preserve">SP-PY.2.2 Operación y desarrollo del Consultorio Empresarial y Contable </v>
          </cell>
          <cell r="D19" t="str">
            <v>No. de Asesorias</v>
          </cell>
        </row>
        <row r="20">
          <cell r="D20" t="str">
            <v>No. de eventos</v>
          </cell>
        </row>
        <row r="21">
          <cell r="D21" t="str">
            <v xml:space="preserve">No. Personas poblacion vulnerable </v>
          </cell>
        </row>
        <row r="22">
          <cell r="A22" t="str">
            <v xml:space="preserve">SP-PY.2.3 Unidades de Servicios de Atención Psicológica (USAP): Consultorio clínico Neiva. </v>
          </cell>
          <cell r="D22" t="str">
            <v xml:space="preserve">No. de personas beneficiarias NEIVA </v>
          </cell>
        </row>
        <row r="23">
          <cell r="A23" t="str">
            <v>SP-PY.2.4 Unidades de Servicios de Atención Psicológica (USAP): Orientación y acompañamiento psicosocial Neiva</v>
          </cell>
          <cell r="D23" t="str">
            <v xml:space="preserve">No. de personas beneficiarias NEIVA </v>
          </cell>
        </row>
        <row r="24">
          <cell r="A24" t="str">
            <v>SP-PY.2.5 Unidades de Servicios de Atención Psicológica (USAP): Orientación y acompañamiento psicosocial Sedes</v>
          </cell>
          <cell r="D24" t="str">
            <v>No. de personas beneficiarias SEDES</v>
          </cell>
        </row>
        <row r="25">
          <cell r="A25" t="str">
            <v>SP-PY.2.6 Operación y desarrollo del Centro de Conciliación</v>
          </cell>
          <cell r="D25" t="str">
            <v>No. Estudientes de la facultad capacitados</v>
          </cell>
        </row>
        <row r="26">
          <cell r="D26" t="str">
            <v>No. de estudiantes capacitados en conciliación escolar</v>
          </cell>
        </row>
        <row r="27">
          <cell r="D27" t="str">
            <v>No. De beneficiarios  audicencias</v>
          </cell>
        </row>
        <row r="28">
          <cell r="D28" t="str">
            <v>No. De asistentes  audicencias</v>
          </cell>
        </row>
        <row r="29">
          <cell r="D29" t="str">
            <v>No. consultas</v>
          </cell>
        </row>
        <row r="30">
          <cell r="A30" t="str">
            <v xml:space="preserve">SP-PY.2.7 Operación y desarrollo  del Consultorio Jurídico. </v>
          </cell>
          <cell r="D30" t="str">
            <v>No. de asesorias</v>
          </cell>
        </row>
        <row r="31">
          <cell r="D31" t="str">
            <v>No. de acompañamientos</v>
          </cell>
        </row>
        <row r="32">
          <cell r="A32" t="str">
            <v>SP-PY.2.8 Unidad de desarrollo de software y contenidos digitales</v>
          </cell>
          <cell r="D32" t="str">
            <v># aplicativos institucionales</v>
          </cell>
        </row>
        <row r="33">
          <cell r="D33" t="str">
            <v># cursos con contenido digital</v>
          </cell>
        </row>
        <row r="34">
          <cell r="D34" t="str">
            <v># estudiantes capacitados en contenidos digitales</v>
          </cell>
        </row>
        <row r="35">
          <cell r="D35" t="str">
            <v># eventos en TIC</v>
          </cell>
        </row>
        <row r="41">
          <cell r="A41" t="str">
            <v>SP-PY.3.1 Proyectos de Proyeccion Social</v>
          </cell>
          <cell r="D41" t="str">
            <v># Macroproyectos</v>
          </cell>
        </row>
        <row r="42">
          <cell r="D42" t="str">
            <v># Proyectos por convocatorias</v>
          </cell>
        </row>
        <row r="43">
          <cell r="D43" t="str">
            <v># Proyectos de responsabilidad social universitaria</v>
          </cell>
        </row>
        <row r="44">
          <cell r="A44" t="str">
            <v>SP-PY.3.2 Formación continuada</v>
          </cell>
          <cell r="D44" t="str">
            <v># Diplomados</v>
          </cell>
        </row>
        <row r="45">
          <cell r="D45" t="str">
            <v># Asistentes diplomados</v>
          </cell>
        </row>
        <row r="46">
          <cell r="D46" t="str">
            <v># Cursos y talleres</v>
          </cell>
        </row>
        <row r="47">
          <cell r="D47" t="str">
            <v># Asistentes cursos</v>
          </cell>
        </row>
        <row r="48">
          <cell r="D48" t="str">
            <v># Seminarios</v>
          </cell>
        </row>
        <row r="49">
          <cell r="D49" t="str">
            <v># Asistentes Seminarios</v>
          </cell>
        </row>
        <row r="50">
          <cell r="A50" t="str">
            <v xml:space="preserve">SP-PY.3.3 Eventos de Proyección Social </v>
          </cell>
          <cell r="D50" t="str">
            <v># Eventos</v>
          </cell>
        </row>
        <row r="51">
          <cell r="D51" t="str">
            <v># Asistentes a Eventos</v>
          </cell>
        </row>
        <row r="52">
          <cell r="A52" t="str">
            <v>SP-PY.3.4 Convenio de Proyección social</v>
          </cell>
          <cell r="D52" t="str">
            <v># Convenios desarrollados</v>
          </cell>
        </row>
        <row r="53">
          <cell r="D53" t="str">
            <v># Personas beneficiadas</v>
          </cell>
        </row>
        <row r="54">
          <cell r="A54" t="str">
            <v>SP-PY.3.5 Apoyo a estudiantes en prácticas, pasantias y judicaturas</v>
          </cell>
          <cell r="D54" t="str">
            <v># Apoyos realizados</v>
          </cell>
        </row>
        <row r="60">
          <cell r="A60" t="str">
            <v>SP-PY.4.1 Prensa</v>
          </cell>
          <cell r="D60" t="str">
            <v>Ediciones</v>
          </cell>
        </row>
        <row r="61">
          <cell r="D61" t="str">
            <v>Publicaciones</v>
          </cell>
        </row>
        <row r="62">
          <cell r="D62" t="str">
            <v>Piezas audiovisulaes</v>
          </cell>
        </row>
        <row r="63">
          <cell r="A63" t="str">
            <v>SP-PY.4.2 Radio</v>
          </cell>
          <cell r="D63" t="str">
            <v>Programas radiales emitidos</v>
          </cell>
        </row>
        <row r="64">
          <cell r="A64" t="str">
            <v>SP-PY.4.3 Televisión</v>
          </cell>
          <cell r="D64" t="str">
            <v>Programas televisivos realizados</v>
          </cell>
        </row>
        <row r="65">
          <cell r="A65" t="str">
            <v>SP-PY.4.4 Comunicación organizacional</v>
          </cell>
          <cell r="D65" t="str">
            <v>Capacitaciones realizadas</v>
          </cell>
        </row>
        <row r="66">
          <cell r="D66" t="str">
            <v>Fachadas señalizadas</v>
          </cell>
        </row>
        <row r="72">
          <cell r="A72" t="str">
            <v>SP-PY.5.1 Construcción de una  Agenda Prospectiva para el desarrollo Social y humano del Departamento del Huila</v>
          </cell>
          <cell r="D72" t="str">
            <v>DOCUMENTO</v>
          </cell>
        </row>
        <row r="73">
          <cell r="A73" t="str">
            <v>SP-PY.5.2 Formación y capacitación  en formulación,seguimiento y evaluación de políticas públicas</v>
          </cell>
          <cell r="D73" t="str">
            <v>EVENTOS</v>
          </cell>
        </row>
        <row r="74">
          <cell r="A74" t="str">
            <v>SP-PY.5.3 Investigación y generación de conocimiento sobre  politicas publicas regionales</v>
          </cell>
          <cell r="D74" t="str">
            <v>ESTUDIOS REALIZADOS</v>
          </cell>
        </row>
        <row r="75">
          <cell r="A75" t="str">
            <v>SP-PY.5.4 Creación y puesta en funcionamiento del Observatorio Regional de Políticas Públicas</v>
          </cell>
          <cell r="D75" t="str">
            <v>OBSERVATORIO</v>
          </cell>
        </row>
        <row r="81">
          <cell r="A81" t="str">
            <v>SP-PY.6. 1Fortalecimiento de las sedes regionale</v>
          </cell>
          <cell r="D81" t="str">
            <v xml:space="preserve"># ESTUDIANTES </v>
          </cell>
        </row>
      </sheetData>
      <sheetData sheetId="8">
        <row r="6">
          <cell r="A6" t="str">
            <v>SB.PY.1.1 Atención Médica a Estudiantes</v>
          </cell>
          <cell r="D6" t="str">
            <v>CONSULTAS</v>
          </cell>
        </row>
        <row r="7">
          <cell r="A7" t="str">
            <v>SB.PY.1.2 Atención Odontológica a Estudiantes</v>
          </cell>
          <cell r="D7" t="str">
            <v>CONSULTAS</v>
          </cell>
        </row>
        <row r="8">
          <cell r="A8" t="str">
            <v>SB.PY.1.3 Atención Psicológico a Estudiantes</v>
          </cell>
          <cell r="D8" t="str">
            <v>CONSULTAS</v>
          </cell>
        </row>
        <row r="9">
          <cell r="A9" t="str">
            <v>SB.PY.1.4 PyP - Promoción y prevención médica</v>
          </cell>
          <cell r="D9" t="str">
            <v>CAMPAÑAS</v>
          </cell>
        </row>
        <row r="10">
          <cell r="A10" t="str">
            <v>SB.PY.1.5 PyP - Promoción y Prevención odontológica</v>
          </cell>
          <cell r="D10" t="str">
            <v>CAMPAÑAS</v>
          </cell>
        </row>
        <row r="11">
          <cell r="A11" t="str">
            <v>SB.PY.1.6 PyP - Promoción y prevención sicológica en Población Vulnerable</v>
          </cell>
          <cell r="D11" t="str">
            <v>CAMPAÑAS</v>
          </cell>
        </row>
        <row r="12">
          <cell r="A12" t="str">
            <v>SB.PY.1.7 Formación sanologica para la comunidad universitaria "USCO SALUDABLE"</v>
          </cell>
          <cell r="D12" t="str">
            <v>ASISTENTES</v>
          </cell>
        </row>
        <row r="18">
          <cell r="A18" t="str">
            <v>SB.PY.2.1 Formación Deportiva en las diferentes disciplinas.</v>
          </cell>
          <cell r="D18" t="str">
            <v>EVENTOS</v>
          </cell>
        </row>
        <row r="19">
          <cell r="A19" t="str">
            <v>SB.PY.2.2 Representación - Competitiva</v>
          </cell>
          <cell r="D19" t="str">
            <v>EVENTOS</v>
          </cell>
        </row>
        <row r="20">
          <cell r="A20" t="str">
            <v>SB.PY.2.3 Recreación y Aprovechamiento del Tiempo Libre</v>
          </cell>
          <cell r="D20" t="str">
            <v>EVENTOS</v>
          </cell>
        </row>
        <row r="26">
          <cell r="A26" t="str">
            <v>SB.PY.3.1 Formación en modalidades artístiscas</v>
          </cell>
          <cell r="D26" t="str">
            <v>TALLERES</v>
          </cell>
        </row>
        <row r="27">
          <cell r="A27" t="str">
            <v>SB.PY.3.2 Puestas en escena de los grupos artísticos</v>
          </cell>
          <cell r="D27" t="str">
            <v>EVENTOS</v>
          </cell>
        </row>
        <row r="33">
          <cell r="A33" t="str">
            <v>SB.PY.4.1 Interacción entre los integrantes de la comunidad universitaria</v>
          </cell>
          <cell r="D33" t="str">
            <v>EVENTOS</v>
          </cell>
        </row>
        <row r="34">
          <cell r="A34" t="str">
            <v>SB.PY.4.2 Atención a la población con enfoque diferencial</v>
          </cell>
          <cell r="D34" t="str">
            <v>ESTUDIANTES</v>
          </cell>
        </row>
        <row r="35">
          <cell r="A35" t="str">
            <v>SB.PY.4.3 Inducción institucional a estudiantes nuevos</v>
          </cell>
          <cell r="D35" t="str">
            <v>ESTUDIANTES</v>
          </cell>
        </row>
        <row r="41">
          <cell r="A41" t="str">
            <v>SB.PY.5.1 Becas, descuentos y exenciones de matrículas</v>
          </cell>
          <cell r="D41" t="str">
            <v>BENEFICIARIOS APROBADOS</v>
          </cell>
        </row>
        <row r="42">
          <cell r="A42" t="str">
            <v>SB.PY.5.2 Servicio de Restaurante</v>
          </cell>
          <cell r="D42" t="str">
            <v>ESTUDIANTES</v>
          </cell>
        </row>
        <row r="43">
          <cell r="A43" t="str">
            <v>SB.PY.5.3 Acompañamiento académico</v>
          </cell>
          <cell r="D43" t="str">
            <v>ESTUDIANTES</v>
          </cell>
        </row>
        <row r="44">
          <cell r="A44" t="str">
            <v>SB.PY.5.4 Acompañamiento sicosocial</v>
          </cell>
          <cell r="D44" t="str">
            <v>ESTUDIANTES</v>
          </cell>
        </row>
      </sheetData>
      <sheetData sheetId="9">
        <row r="6">
          <cell r="A6" t="str">
            <v>SA-PY.1.1 Construcción  de edificios</v>
          </cell>
          <cell r="D6" t="str">
            <v>M2 Construídos</v>
          </cell>
        </row>
        <row r="7">
          <cell r="A7" t="str">
            <v>SA-PY.1.2 Construcción de  campos deportivos</v>
          </cell>
          <cell r="D7" t="str">
            <v>M2 Construídos</v>
          </cell>
        </row>
        <row r="8">
          <cell r="A8" t="str">
            <v>SA-PY.1.3 Adecuar accesos para discapacitados</v>
          </cell>
          <cell r="D8" t="str">
            <v>M2 Adecuados</v>
          </cell>
        </row>
        <row r="9">
          <cell r="A9" t="str">
            <v>SA-PY.1.4 Adecuar planta física existente</v>
          </cell>
          <cell r="D9" t="str">
            <v>M2 Adecuados</v>
          </cell>
        </row>
        <row r="10">
          <cell r="A10" t="str">
            <v>SA-PY.1.5 Mantener edificaciones y campos deportivos</v>
          </cell>
          <cell r="D10" t="str">
            <v>M2 Mantenidos</v>
          </cell>
        </row>
        <row r="16">
          <cell r="A16" t="str">
            <v>SA-PY.2.1 Dotación de equipos los laboratorios y talleres para Docencia</v>
          </cell>
          <cell r="D16" t="str">
            <v># Laboratorios dotados de equipos</v>
          </cell>
        </row>
        <row r="17">
          <cell r="A17" t="str">
            <v>SA-PY.2.2 Mantenimiento Preventivo y Correctivo Laboratorios de Docencia</v>
          </cell>
          <cell r="D17" t="str">
            <v># Laboratorios con equipos mantenidos</v>
          </cell>
        </row>
        <row r="18">
          <cell r="A18" t="str">
            <v>SA-PY.2.3 Dotación de vidriería, reactivos e insumos para laboratorios de docencia</v>
          </cell>
          <cell r="D18" t="str">
            <v># Laboratorios dotados de vidiería e insumos</v>
          </cell>
        </row>
        <row r="19">
          <cell r="A19" t="str">
            <v>SA-PY.2.4  Dotación de equipos y aplicativos para laboratorios de Investigación</v>
          </cell>
          <cell r="D19" t="str">
            <v># Laboratorios dotados de equipos</v>
          </cell>
        </row>
        <row r="20">
          <cell r="A20" t="str">
            <v>SA-PY.2.5 Mantenimiento de equipos y aplicativos para laboratorios de Investigación</v>
          </cell>
          <cell r="D20" t="str">
            <v># Laboratorios con equipos mantenidos</v>
          </cell>
        </row>
        <row r="21">
          <cell r="A21" t="str">
            <v>SA-PY.2.6 Dotación de vidriería, reactivos e insumos para laboratorios de investigación</v>
          </cell>
          <cell r="D21" t="str">
            <v># Laboratorios dotados de vidiería e insumos</v>
          </cell>
        </row>
        <row r="22">
          <cell r="A22" t="str">
            <v>SA-PY.2.7 Dotación de Aulas de equipos y muebles</v>
          </cell>
          <cell r="D22" t="str">
            <v># Aulas dotadas</v>
          </cell>
        </row>
        <row r="23">
          <cell r="A23" t="str">
            <v>SA-PY.2.8 Mantenimiento dotación de aulas</v>
          </cell>
          <cell r="D23" t="str">
            <v># Aulas con dotación mantenida</v>
          </cell>
        </row>
        <row r="24">
          <cell r="A24" t="str">
            <v>SA-PY.2.9 Dotación de oficinas</v>
          </cell>
          <cell r="D24" t="str">
            <v># Oficinas dotadas</v>
          </cell>
        </row>
        <row r="25">
          <cell r="A25" t="str">
            <v>SA-PY.2.10 Mantenimiento de las oficinas</v>
          </cell>
          <cell r="D25" t="str">
            <v># Oficinas con dotación mantenida</v>
          </cell>
        </row>
        <row r="26">
          <cell r="A26" t="str">
            <v>SA-PY.2.11 Adquirir bibliografía fisica y Digital</v>
          </cell>
          <cell r="D26" t="str">
            <v># Libros</v>
          </cell>
        </row>
        <row r="27">
          <cell r="A27" t="str">
            <v>SA-PY.2.12 Acceso a bases de datos (bibliografía)</v>
          </cell>
          <cell r="D27" t="str">
            <v># Bases de datos</v>
          </cell>
        </row>
        <row r="33">
          <cell r="A33" t="str">
            <v>SA-PY.3.1 Adquisición de equipos con destino de información y comunicación</v>
          </cell>
          <cell r="D33" t="str">
            <v># Equipos</v>
          </cell>
        </row>
        <row r="34">
          <cell r="A34" t="str">
            <v>SA-PY.3.2 Mantenimiento de equipos con destino de información y comunicación</v>
          </cell>
          <cell r="D34" t="str">
            <v># Equipos mantenidos</v>
          </cell>
        </row>
        <row r="35">
          <cell r="A35" t="str">
            <v>SA-PY.3.3 Desarrollo de Aplicativos</v>
          </cell>
          <cell r="D35" t="str">
            <v># Aplicativos nuevos</v>
          </cell>
        </row>
        <row r="36">
          <cell r="A36" t="str">
            <v>SA-PY.3.4 Mantenimiento y adecuaciones a aplicativos</v>
          </cell>
          <cell r="D36" t="str">
            <v># Aplicativos adecuados y mantenidos</v>
          </cell>
        </row>
        <row r="37">
          <cell r="A37" t="str">
            <v>SA-PY.3.5 Adquisición y Renovación de licencias</v>
          </cell>
          <cell r="D37" t="str">
            <v># de licencias</v>
          </cell>
        </row>
        <row r="43">
          <cell r="A43" t="str">
            <v>SA-PY.4.1 Desarrollo del Sistema de gestión de Calidad</v>
          </cell>
          <cell r="D43" t="str">
            <v># Certificaciones en la norma NTC ISO 9001:2015</v>
          </cell>
        </row>
        <row r="44">
          <cell r="A44" t="str">
            <v>SA-PY.4.2 Desarrollo documental de los requisitos generales para la competencias de los laboratorios de prueba y calibración</v>
          </cell>
          <cell r="D44" t="str">
            <v xml:space="preserve">Acreditación de laboratorios en la NTC ISO 17025 </v>
          </cell>
        </row>
        <row r="45">
          <cell r="A45" t="str">
            <v>SA-PY.4.3 Desarrollo d el Sistema de gestión Ambiental</v>
          </cell>
          <cell r="D45" t="str">
            <v xml:space="preserve"># Certificaciones norma NTC ISO 14001, </v>
          </cell>
        </row>
        <row r="46">
          <cell r="A46" t="str">
            <v>SA-PY.4.4 Desarrollar el Sistema de seguridad y salud en el trabajo</v>
          </cell>
          <cell r="D46" t="str">
            <v># Certificaciones norma NTC OHSAS 18001 o  ISO 45001</v>
          </cell>
        </row>
        <row r="47">
          <cell r="A47" t="str">
            <v>SA-PY.4.5 Mantener y mejorar el Sistema de gestión de seguridad de la información</v>
          </cell>
          <cell r="D47" t="str">
            <v># Certificaciones en la norma ISO 27000:2015</v>
          </cell>
        </row>
        <row r="48">
          <cell r="A48" t="str">
            <v>SA-PY.4.6 Mantener y mejorar el Sistema de gestión documental</v>
          </cell>
          <cell r="D48" t="str">
            <v>Sistema documental implementado y mantenido</v>
          </cell>
        </row>
        <row r="49">
          <cell r="A49" t="str">
            <v>SA-PY.4.7 Mantener y mejorar el Sistema de gestión de Planeación</v>
          </cell>
          <cell r="D49" t="str">
            <v># de Procesos con sistema de planeación</v>
          </cell>
        </row>
        <row r="55">
          <cell r="A55" t="str">
            <v>SA-PY.5.1 Definir y desarrollar Plan de formación</v>
          </cell>
          <cell r="D55" t="str">
            <v># de Administrativos y Operativos formados</v>
          </cell>
        </row>
        <row r="56">
          <cell r="A56" t="str">
            <v xml:space="preserve">SA-PY.5.2 Definir y desarrollar Plan de capacitación </v>
          </cell>
          <cell r="D56" t="str">
            <v># de Administrativos y Operativos capacitados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1-2021"/>
      <sheetName val="EV.PROYECTOS"/>
      <sheetName val="EV.ACCIONES.aux"/>
      <sheetName val="INDICES IPC"/>
      <sheetName val="P. ACCION"/>
    </sheetNames>
    <sheetDataSet>
      <sheetData sheetId="0"/>
      <sheetData sheetId="1"/>
      <sheetData sheetId="2">
        <row r="7">
          <cell r="M7">
            <v>11906666</v>
          </cell>
        </row>
        <row r="8">
          <cell r="M8">
            <v>11906666</v>
          </cell>
        </row>
        <row r="9">
          <cell r="M9">
            <v>38583332</v>
          </cell>
        </row>
        <row r="10">
          <cell r="M10">
            <v>0</v>
          </cell>
        </row>
        <row r="11">
          <cell r="M11">
            <v>0</v>
          </cell>
        </row>
        <row r="12">
          <cell r="M12">
            <v>0</v>
          </cell>
        </row>
        <row r="13">
          <cell r="M13">
            <v>0</v>
          </cell>
        </row>
        <row r="14">
          <cell r="M14">
            <v>50370079</v>
          </cell>
        </row>
        <row r="15">
          <cell r="M15">
            <v>0</v>
          </cell>
        </row>
        <row r="16">
          <cell r="M16">
            <v>49573406</v>
          </cell>
        </row>
        <row r="17">
          <cell r="M17">
            <v>0</v>
          </cell>
        </row>
        <row r="18">
          <cell r="M18">
            <v>116888314</v>
          </cell>
        </row>
        <row r="19">
          <cell r="M19">
            <v>0</v>
          </cell>
        </row>
        <row r="20">
          <cell r="M20">
            <v>78198332</v>
          </cell>
        </row>
        <row r="21">
          <cell r="M21">
            <v>0</v>
          </cell>
        </row>
        <row r="22">
          <cell r="M22">
            <v>0</v>
          </cell>
        </row>
        <row r="23">
          <cell r="M23">
            <v>26306666</v>
          </cell>
        </row>
        <row r="24">
          <cell r="M24">
            <v>0</v>
          </cell>
        </row>
        <row r="25">
          <cell r="M25">
            <v>0</v>
          </cell>
        </row>
        <row r="26">
          <cell r="M26">
            <v>3000000</v>
          </cell>
        </row>
        <row r="27">
          <cell r="M27">
            <v>5913364</v>
          </cell>
        </row>
        <row r="28">
          <cell r="M28">
            <v>0</v>
          </cell>
        </row>
        <row r="29">
          <cell r="M29">
            <v>43203553</v>
          </cell>
        </row>
        <row r="30">
          <cell r="M30">
            <v>29762356</v>
          </cell>
        </row>
        <row r="31">
          <cell r="M31">
            <v>0</v>
          </cell>
        </row>
        <row r="32">
          <cell r="M32">
            <v>0</v>
          </cell>
        </row>
        <row r="33">
          <cell r="M33">
            <v>23466664</v>
          </cell>
        </row>
        <row r="34">
          <cell r="M34">
            <v>3000000</v>
          </cell>
        </row>
        <row r="35">
          <cell r="M35">
            <v>8000000</v>
          </cell>
        </row>
        <row r="36">
          <cell r="M36">
            <v>0</v>
          </cell>
        </row>
        <row r="37">
          <cell r="M37">
            <v>38233331</v>
          </cell>
        </row>
        <row r="38">
          <cell r="M38">
            <v>39428820</v>
          </cell>
        </row>
        <row r="39">
          <cell r="M39">
            <v>29000000</v>
          </cell>
        </row>
        <row r="40">
          <cell r="M40">
            <v>17346067</v>
          </cell>
        </row>
        <row r="41">
          <cell r="M41">
            <v>9216667</v>
          </cell>
        </row>
        <row r="42">
          <cell r="M42">
            <v>123686564</v>
          </cell>
        </row>
        <row r="43">
          <cell r="M43">
            <v>131886295</v>
          </cell>
        </row>
        <row r="44">
          <cell r="M44">
            <v>0</v>
          </cell>
        </row>
        <row r="45">
          <cell r="M45">
            <v>438500</v>
          </cell>
        </row>
        <row r="46">
          <cell r="M46">
            <v>1225160109</v>
          </cell>
        </row>
        <row r="47">
          <cell r="M47">
            <v>30979995</v>
          </cell>
        </row>
        <row r="48">
          <cell r="M48">
            <v>48082867</v>
          </cell>
        </row>
        <row r="49">
          <cell r="M49">
            <v>44083840</v>
          </cell>
        </row>
        <row r="50">
          <cell r="M50">
            <v>0</v>
          </cell>
        </row>
        <row r="51">
          <cell r="M51">
            <v>7356597</v>
          </cell>
        </row>
        <row r="52">
          <cell r="M52">
            <v>8200000</v>
          </cell>
        </row>
        <row r="53">
          <cell r="M53">
            <v>5000000</v>
          </cell>
        </row>
        <row r="54">
          <cell r="M54">
            <v>58909996</v>
          </cell>
        </row>
        <row r="55">
          <cell r="M55">
            <v>29924994</v>
          </cell>
        </row>
        <row r="56">
          <cell r="M56">
            <v>10246500</v>
          </cell>
        </row>
        <row r="57">
          <cell r="M57">
            <v>19041499</v>
          </cell>
        </row>
        <row r="58">
          <cell r="M58">
            <v>14041499</v>
          </cell>
        </row>
        <row r="59">
          <cell r="M59">
            <v>20449995</v>
          </cell>
        </row>
        <row r="60">
          <cell r="M60">
            <v>24932463</v>
          </cell>
        </row>
        <row r="61">
          <cell r="M61">
            <v>20000000</v>
          </cell>
        </row>
        <row r="62">
          <cell r="M62">
            <v>342765459</v>
          </cell>
        </row>
        <row r="63">
          <cell r="M63">
            <v>0</v>
          </cell>
        </row>
        <row r="64">
          <cell r="M64">
            <v>16250436</v>
          </cell>
        </row>
        <row r="65">
          <cell r="M65">
            <v>611783854</v>
          </cell>
        </row>
        <row r="66">
          <cell r="M66">
            <v>41566926</v>
          </cell>
        </row>
        <row r="67">
          <cell r="M67">
            <v>45451660</v>
          </cell>
        </row>
        <row r="68">
          <cell r="M68">
            <v>49680000</v>
          </cell>
        </row>
        <row r="69">
          <cell r="M69">
            <v>14005299</v>
          </cell>
        </row>
        <row r="70">
          <cell r="M70">
            <v>68508909</v>
          </cell>
        </row>
        <row r="71">
          <cell r="M71">
            <v>0</v>
          </cell>
        </row>
        <row r="72">
          <cell r="M72">
            <v>0</v>
          </cell>
        </row>
        <row r="73">
          <cell r="M73">
            <v>0</v>
          </cell>
        </row>
        <row r="74">
          <cell r="M74">
            <v>29339994</v>
          </cell>
        </row>
        <row r="75">
          <cell r="M75">
            <v>0</v>
          </cell>
        </row>
        <row r="76">
          <cell r="M76">
            <v>24493333</v>
          </cell>
        </row>
        <row r="77">
          <cell r="M77">
            <v>0</v>
          </cell>
        </row>
        <row r="78">
          <cell r="M78">
            <v>25500000</v>
          </cell>
        </row>
        <row r="79">
          <cell r="M79">
            <v>0</v>
          </cell>
        </row>
        <row r="80">
          <cell r="M80">
            <v>0</v>
          </cell>
        </row>
        <row r="81">
          <cell r="M81">
            <v>6120000</v>
          </cell>
        </row>
        <row r="82">
          <cell r="M82">
            <v>36049999</v>
          </cell>
        </row>
        <row r="83">
          <cell r="M83">
            <v>0</v>
          </cell>
        </row>
        <row r="84">
          <cell r="M84">
            <v>143820000</v>
          </cell>
        </row>
        <row r="85">
          <cell r="M85">
            <v>0</v>
          </cell>
        </row>
        <row r="86">
          <cell r="M86">
            <v>0</v>
          </cell>
        </row>
        <row r="87">
          <cell r="M87">
            <v>160863333</v>
          </cell>
        </row>
        <row r="88">
          <cell r="M88">
            <v>1670000</v>
          </cell>
        </row>
        <row r="89">
          <cell r="M89">
            <v>28366665</v>
          </cell>
        </row>
        <row r="90">
          <cell r="M90">
            <v>0</v>
          </cell>
        </row>
        <row r="91">
          <cell r="M91">
            <v>35500000</v>
          </cell>
        </row>
        <row r="92">
          <cell r="M92">
            <v>0</v>
          </cell>
        </row>
        <row r="93">
          <cell r="M93">
            <v>138198663</v>
          </cell>
        </row>
        <row r="94">
          <cell r="M94">
            <v>108843333</v>
          </cell>
        </row>
        <row r="95">
          <cell r="M95">
            <v>0</v>
          </cell>
        </row>
        <row r="96">
          <cell r="M96">
            <v>0</v>
          </cell>
        </row>
        <row r="97">
          <cell r="M97">
            <v>0</v>
          </cell>
        </row>
        <row r="98">
          <cell r="M98">
            <v>0</v>
          </cell>
        </row>
        <row r="99">
          <cell r="M99">
            <v>0</v>
          </cell>
        </row>
        <row r="100">
          <cell r="M100">
            <v>0</v>
          </cell>
        </row>
        <row r="101">
          <cell r="M101">
            <v>0</v>
          </cell>
        </row>
        <row r="102">
          <cell r="M102">
            <v>0</v>
          </cell>
        </row>
        <row r="103">
          <cell r="M103">
            <v>0</v>
          </cell>
        </row>
        <row r="104">
          <cell r="M104">
            <v>0</v>
          </cell>
        </row>
        <row r="105">
          <cell r="M105">
            <v>0</v>
          </cell>
        </row>
        <row r="106">
          <cell r="M106">
            <v>0</v>
          </cell>
        </row>
        <row r="107">
          <cell r="M107">
            <v>0</v>
          </cell>
        </row>
        <row r="108">
          <cell r="M108">
            <v>0</v>
          </cell>
        </row>
        <row r="109">
          <cell r="M109">
            <v>0</v>
          </cell>
        </row>
        <row r="110">
          <cell r="M110">
            <v>2870208</v>
          </cell>
        </row>
        <row r="111">
          <cell r="M111">
            <v>0</v>
          </cell>
        </row>
        <row r="112">
          <cell r="M112">
            <v>0</v>
          </cell>
        </row>
        <row r="113">
          <cell r="M113">
            <v>44457860</v>
          </cell>
        </row>
        <row r="114">
          <cell r="M114">
            <v>54909740</v>
          </cell>
        </row>
        <row r="115">
          <cell r="M115">
            <v>174781910</v>
          </cell>
        </row>
        <row r="116">
          <cell r="M116">
            <v>26775000</v>
          </cell>
        </row>
        <row r="117">
          <cell r="M117">
            <v>68119997</v>
          </cell>
        </row>
        <row r="118">
          <cell r="M118">
            <v>0</v>
          </cell>
        </row>
        <row r="119">
          <cell r="M119">
            <v>77913330</v>
          </cell>
        </row>
        <row r="120">
          <cell r="M120">
            <v>71239998</v>
          </cell>
        </row>
        <row r="121">
          <cell r="M121">
            <v>59500000</v>
          </cell>
        </row>
        <row r="122">
          <cell r="M122">
            <v>8000000</v>
          </cell>
        </row>
        <row r="123">
          <cell r="M123">
            <v>59880515</v>
          </cell>
        </row>
        <row r="124">
          <cell r="M124">
            <v>7428362</v>
          </cell>
        </row>
        <row r="125">
          <cell r="M125">
            <v>15656625</v>
          </cell>
        </row>
      </sheetData>
      <sheetData sheetId="3"/>
      <sheetData sheetId="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-4 2020"/>
      <sheetName val="EV_ROYECTOS"/>
      <sheetName val="EV_ACCIONES"/>
      <sheetName val="INDICES IPC"/>
    </sheetNames>
    <sheetDataSet>
      <sheetData sheetId="0">
        <row r="14">
          <cell r="M14">
            <v>106</v>
          </cell>
        </row>
        <row r="27">
          <cell r="M27">
            <v>617</v>
          </cell>
        </row>
        <row r="37">
          <cell r="L37">
            <v>19723</v>
          </cell>
        </row>
      </sheetData>
      <sheetData sheetId="1"/>
      <sheetData sheetId="2"/>
      <sheetData sheetId="3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1-2021"/>
      <sheetName val="EV.PROYECTOS"/>
      <sheetName val="EV.ACCIONES.aux"/>
      <sheetName val="INDICES IPC"/>
      <sheetName val="P. ACCION"/>
    </sheetNames>
    <sheetDataSet>
      <sheetData sheetId="0">
        <row r="14">
          <cell r="L14">
            <v>46</v>
          </cell>
          <cell r="O14">
            <v>0</v>
          </cell>
        </row>
        <row r="27">
          <cell r="L27">
            <v>498</v>
          </cell>
          <cell r="O27">
            <v>156</v>
          </cell>
        </row>
        <row r="37">
          <cell r="O37">
            <v>4896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91"/>
  <sheetViews>
    <sheetView tabSelected="1" topLeftCell="B178" workbookViewId="0">
      <selection activeCell="B72" sqref="B72:C72"/>
    </sheetView>
  </sheetViews>
  <sheetFormatPr baseColWidth="10" defaultRowHeight="15" x14ac:dyDescent="0.25"/>
  <cols>
    <col min="1" max="1" width="6.42578125" customWidth="1"/>
    <col min="2" max="2" width="24.42578125" customWidth="1"/>
    <col min="3" max="3" width="19.28515625" customWidth="1"/>
    <col min="4" max="4" width="14.7109375" customWidth="1"/>
    <col min="5" max="6" width="8" customWidth="1"/>
    <col min="7" max="7" width="10.28515625" customWidth="1"/>
    <col min="8" max="9" width="12.28515625" customWidth="1"/>
    <col min="10" max="10" width="9.7109375" customWidth="1"/>
    <col min="11" max="11" width="9.7109375" style="41" customWidth="1"/>
    <col min="12" max="12" width="9.7109375" customWidth="1"/>
    <col min="13" max="13" width="9.7109375" style="41" customWidth="1"/>
    <col min="14" max="14" width="9.7109375" customWidth="1"/>
    <col min="15" max="15" width="9.7109375" style="41" customWidth="1"/>
    <col min="16" max="16" width="12.85546875" bestFit="1" customWidth="1"/>
    <col min="17" max="17" width="13.7109375" customWidth="1"/>
    <col min="18" max="18" width="11.28515625" customWidth="1"/>
    <col min="19" max="19" width="10.42578125" customWidth="1"/>
    <col min="20" max="20" width="12.28515625" bestFit="1" customWidth="1"/>
    <col min="21" max="22" width="11.5703125" hidden="1" customWidth="1"/>
  </cols>
  <sheetData>
    <row r="1" spans="1:22" ht="36.6" customHeight="1" x14ac:dyDescent="0.25">
      <c r="A1" s="73" t="s">
        <v>0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</row>
    <row r="2" spans="1:22" ht="16.149999999999999" customHeight="1" x14ac:dyDescent="0.25">
      <c r="A2" s="74" t="s">
        <v>1</v>
      </c>
      <c r="B2" s="48"/>
      <c r="C2" s="49"/>
      <c r="D2" s="75" t="s">
        <v>3</v>
      </c>
      <c r="E2" s="75" t="s">
        <v>4</v>
      </c>
      <c r="F2" s="75" t="s">
        <v>5</v>
      </c>
      <c r="G2" s="75" t="s">
        <v>63</v>
      </c>
      <c r="H2" s="75" t="s">
        <v>6</v>
      </c>
      <c r="I2" s="77" t="s">
        <v>7</v>
      </c>
      <c r="J2" s="77" t="s">
        <v>8</v>
      </c>
      <c r="K2" s="79"/>
      <c r="L2" s="77" t="s">
        <v>9</v>
      </c>
      <c r="M2" s="79"/>
      <c r="N2" s="77" t="s">
        <v>10</v>
      </c>
      <c r="O2" s="79"/>
      <c r="P2" s="64" t="s">
        <v>11</v>
      </c>
      <c r="Q2" s="65"/>
      <c r="R2" s="65"/>
      <c r="S2" s="65"/>
      <c r="T2" s="66"/>
    </row>
    <row r="3" spans="1:22" ht="56.25" customHeight="1" x14ac:dyDescent="0.25">
      <c r="A3" s="74"/>
      <c r="B3" s="67" t="s">
        <v>2</v>
      </c>
      <c r="C3" s="68"/>
      <c r="D3" s="76"/>
      <c r="E3" s="76"/>
      <c r="F3" s="76"/>
      <c r="G3" s="76"/>
      <c r="H3" s="76"/>
      <c r="I3" s="78"/>
      <c r="J3" s="78"/>
      <c r="K3" s="80"/>
      <c r="L3" s="78"/>
      <c r="M3" s="80"/>
      <c r="N3" s="78"/>
      <c r="O3" s="80"/>
      <c r="P3" s="1" t="s">
        <v>59</v>
      </c>
      <c r="Q3" s="2" t="s">
        <v>12</v>
      </c>
      <c r="R3" s="3" t="s">
        <v>13</v>
      </c>
      <c r="S3" s="1" t="s">
        <v>60</v>
      </c>
      <c r="T3" s="1" t="s">
        <v>61</v>
      </c>
      <c r="U3" s="4">
        <v>2020</v>
      </c>
      <c r="V3" s="4" t="s">
        <v>14</v>
      </c>
    </row>
    <row r="4" spans="1:22" s="11" customFormat="1" ht="62.45" customHeight="1" x14ac:dyDescent="0.25">
      <c r="A4" s="69" t="s">
        <v>15</v>
      </c>
      <c r="B4" s="52" t="str">
        <f>+[1]SF!A6</f>
        <v>SF-PY.1.1.  Inducción y Reinducción con docentes, estudiantes, Administrativos y Directivos de la Universidad, sobre mision, vision, principios y valores.</v>
      </c>
      <c r="C4" s="52"/>
      <c r="D4" s="5" t="str">
        <f>[2]SF!D6</f>
        <v>PERSONAS</v>
      </c>
      <c r="E4" s="5">
        <f>+[1]SF!B6</f>
        <v>14000</v>
      </c>
      <c r="F4" s="5">
        <f>+[1]SF!C6</f>
        <v>29000</v>
      </c>
      <c r="G4" s="5">
        <f>+F4-E4</f>
        <v>15000</v>
      </c>
      <c r="H4" s="6">
        <v>6000</v>
      </c>
      <c r="I4" s="5">
        <f>+'[1]METAS SF'!M2+'[1]METAS SF'!N2</f>
        <v>3185</v>
      </c>
      <c r="J4" s="7">
        <f>+I4/H4</f>
        <v>0.53083333333333338</v>
      </c>
      <c r="K4" s="8" t="str">
        <f t="shared" ref="K4:K67" si="0">IF(J4&lt;=20%,"MUY BAJO",IF(AND(J4&gt;20%,J4&lt;=40%),"BAJO",IF(AND(J4&gt;40%,J4&lt;=60%),"MEDIO",IF(AND(J4&gt;60%,J4&lt;=80%),"ALTO","MUY ALTO"))))</f>
        <v>MEDIO</v>
      </c>
      <c r="L4" s="7">
        <f>+P4/Q4</f>
        <v>0.40487804878048783</v>
      </c>
      <c r="M4" s="8" t="str">
        <f t="shared" ref="M4:M67" si="1">IF(L4&lt;=20%,"MUY BAJO",IF(AND(L4&gt;20%,L4&lt;=40%),"BAJO",IF(AND(L4&gt;40%,L4&lt;=60%),"MEDIO",IF(AND(L4&gt;60%,L4&lt;=80%),"ALTO","MUY ALTO"))))</f>
        <v>MEDIO</v>
      </c>
      <c r="N4" s="7">
        <f>+J4*L4</f>
        <v>0.21492276422764231</v>
      </c>
      <c r="O4" s="8" t="str">
        <f t="shared" ref="O4:O67" si="2">IF(N4&lt;=20%,"MUY BAJO",IF(AND(N4&gt;20%,N4&lt;=40%),"BAJO",IF(AND(N4&gt;40%,N4&lt;=60%),"MEDIO",IF(AND(N4&gt;60%,N4&lt;=80%),"ALTO","MUY ALTO"))))</f>
        <v>BAJO</v>
      </c>
      <c r="P4" s="9">
        <f>+S4+T4</f>
        <v>83</v>
      </c>
      <c r="Q4" s="9">
        <f>([1]SF!F6+[1]SF!H6)/1000000</f>
        <v>205</v>
      </c>
      <c r="R4" s="9">
        <f>+Q4-P4</f>
        <v>122</v>
      </c>
      <c r="S4" s="9">
        <f>ROUND([1]EV.ACCIONES.aux!M7/1000000*$S$187/$S$188,0)-V4</f>
        <v>26</v>
      </c>
      <c r="T4" s="9">
        <f>+U4+V4</f>
        <v>57</v>
      </c>
      <c r="U4" s="10">
        <f>ROUND([2]EV_ACCIONES!$I7/1000000*$S$187/$S$188,0)</f>
        <v>46</v>
      </c>
      <c r="V4" s="10">
        <f>ROUND([3]EV.ACCIONES.aux!$M7/1000000*$S$187/$S$188,0)</f>
        <v>11</v>
      </c>
    </row>
    <row r="5" spans="1:22" s="11" customFormat="1" ht="49.9" customHeight="1" x14ac:dyDescent="0.25">
      <c r="A5" s="70"/>
      <c r="B5" s="52" t="str">
        <f>+[1]SF!A7</f>
        <v>SF-PY.1.2.  Promocion de la cultura  participativa y la democracia deliberativa en la comunidad  universitaria</v>
      </c>
      <c r="C5" s="52"/>
      <c r="D5" s="5" t="str">
        <f>[2]SF!D7</f>
        <v>PERSONAS</v>
      </c>
      <c r="E5" s="5">
        <f>+[1]SF!B7</f>
        <v>25</v>
      </c>
      <c r="F5" s="5">
        <f>+[1]SF!C7</f>
        <v>275</v>
      </c>
      <c r="G5" s="5">
        <f>+F5-E5</f>
        <v>250</v>
      </c>
      <c r="H5" s="6">
        <v>100</v>
      </c>
      <c r="I5" s="5">
        <f>+'[1]METAS SF'!M3+'[1]METAS SF'!N3</f>
        <v>126</v>
      </c>
      <c r="J5" s="7">
        <f>+I5/H5</f>
        <v>1.26</v>
      </c>
      <c r="K5" s="8" t="str">
        <f t="shared" si="0"/>
        <v>MUY ALTO</v>
      </c>
      <c r="L5" s="7">
        <f>+P5/Q5</f>
        <v>0.47499999999999998</v>
      </c>
      <c r="M5" s="8" t="str">
        <f t="shared" si="1"/>
        <v>MEDIO</v>
      </c>
      <c r="N5" s="7">
        <f>+J5*L5</f>
        <v>0.59849999999999992</v>
      </c>
      <c r="O5" s="8" t="str">
        <f t="shared" si="2"/>
        <v>MEDIO</v>
      </c>
      <c r="P5" s="9">
        <f>+S5+T5</f>
        <v>38</v>
      </c>
      <c r="Q5" s="9">
        <f>([1]SF!F7+[1]SF!H7)/1000000</f>
        <v>80</v>
      </c>
      <c r="R5" s="9">
        <f>+Q5-P5</f>
        <v>42</v>
      </c>
      <c r="S5" s="9">
        <f>ROUND([1]EV.ACCIONES.aux!M8/1000000*$S$187/$S$188,0)-V5</f>
        <v>0</v>
      </c>
      <c r="T5" s="9">
        <f>+U5+V5</f>
        <v>38</v>
      </c>
      <c r="U5" s="10">
        <f>ROUND([2]EV_ACCIONES!$I8/1000000*$S$187/$S$188,0)</f>
        <v>27</v>
      </c>
      <c r="V5" s="10">
        <f>ROUND([3]EV.ACCIONES.aux!$M8/1000000*$S$187/$S$188,0)</f>
        <v>11</v>
      </c>
    </row>
    <row r="6" spans="1:22" ht="27" customHeight="1" x14ac:dyDescent="0.25">
      <c r="A6" s="70"/>
      <c r="B6" s="53" t="s">
        <v>16</v>
      </c>
      <c r="C6" s="53"/>
      <c r="D6" s="12"/>
      <c r="E6" s="12"/>
      <c r="F6" s="12"/>
      <c r="G6" s="12"/>
      <c r="H6" s="12"/>
      <c r="I6" s="12"/>
      <c r="J6" s="13">
        <f>AVERAGE(J4:J5)</f>
        <v>0.89541666666666675</v>
      </c>
      <c r="K6" s="8" t="str">
        <f t="shared" si="0"/>
        <v>MUY ALTO</v>
      </c>
      <c r="L6" s="13">
        <f>AVERAGE(L4:L5)</f>
        <v>0.4399390243902439</v>
      </c>
      <c r="M6" s="8" t="str">
        <f t="shared" si="1"/>
        <v>MEDIO</v>
      </c>
      <c r="N6" s="13">
        <f>AVERAGE(N4:N5)</f>
        <v>0.40671138211382113</v>
      </c>
      <c r="O6" s="8" t="str">
        <f t="shared" si="2"/>
        <v>MEDIO</v>
      </c>
      <c r="P6" s="14">
        <f>SUM(P4:P5)</f>
        <v>121</v>
      </c>
      <c r="Q6" s="14">
        <f t="shared" ref="Q6:S6" si="3">SUM(Q4:Q5)</f>
        <v>285</v>
      </c>
      <c r="R6" s="14">
        <f t="shared" si="3"/>
        <v>164</v>
      </c>
      <c r="S6" s="14">
        <f t="shared" si="3"/>
        <v>26</v>
      </c>
      <c r="T6" s="14">
        <f>SUM(T4:T5)</f>
        <v>95</v>
      </c>
      <c r="U6" s="15"/>
    </row>
    <row r="7" spans="1:22" s="11" customFormat="1" ht="36.6" customHeight="1" x14ac:dyDescent="0.25">
      <c r="A7" s="70"/>
      <c r="B7" s="72" t="str">
        <f>+[1]SF!A13</f>
        <v>SF-PY.2.1.Nuevos programas académicos de pregrado presenciales y virtuales.</v>
      </c>
      <c r="C7" s="72"/>
      <c r="D7" s="16" t="str">
        <f>[2]SF!D13</f>
        <v>PROGRAMAS ACADÉMICOS</v>
      </c>
      <c r="E7" s="16">
        <f>+[1]SF!B13</f>
        <v>36</v>
      </c>
      <c r="F7" s="16">
        <f>+[1]SF!C13</f>
        <v>40</v>
      </c>
      <c r="G7" s="17">
        <f t="shared" ref="G7:G26" si="4">+F7-E7</f>
        <v>4</v>
      </c>
      <c r="H7" s="16">
        <v>2</v>
      </c>
      <c r="I7" s="18">
        <f>+'[1]METAS SF'!M4+'[1]METAS SF'!N4</f>
        <v>0</v>
      </c>
      <c r="J7" s="19">
        <f t="shared" ref="J7:J10" si="5">+I7/H7</f>
        <v>0</v>
      </c>
      <c r="K7" s="20" t="str">
        <f t="shared" si="0"/>
        <v>MUY BAJO</v>
      </c>
      <c r="L7" s="19">
        <f t="shared" ref="L7:L10" si="6">+P7/Q7</f>
        <v>1.2333333333333334</v>
      </c>
      <c r="M7" s="20" t="str">
        <f t="shared" si="1"/>
        <v>MUY ALTO</v>
      </c>
      <c r="N7" s="19">
        <f t="shared" ref="N7:N10" si="7">+J7*L7</f>
        <v>0</v>
      </c>
      <c r="O7" s="20" t="str">
        <f t="shared" si="2"/>
        <v>MUY BAJO</v>
      </c>
      <c r="P7" s="21">
        <f>+S7+T7</f>
        <v>37</v>
      </c>
      <c r="Q7" s="21">
        <f>([1]SF!F13+[1]SF!H13)/1000000</f>
        <v>30</v>
      </c>
      <c r="R7" s="21">
        <f>+Q7-P7</f>
        <v>-7</v>
      </c>
      <c r="S7" s="21">
        <f>ROUND([1]EV.ACCIONES.aux!M9/1000000*$S$187/$S$188,0)-V7</f>
        <v>0</v>
      </c>
      <c r="T7" s="21">
        <f>+U7+V7</f>
        <v>37</v>
      </c>
      <c r="U7" s="10">
        <f>ROUND([2]EV_ACCIONES!$I9/1000000*$S$187/$S$188,0)</f>
        <v>0</v>
      </c>
      <c r="V7" s="10">
        <f>ROUND([3]EV.ACCIONES.aux!$M9/1000000*$S$187/$S$188,0)</f>
        <v>37</v>
      </c>
    </row>
    <row r="8" spans="1:22" s="11" customFormat="1" ht="34.15" customHeight="1" x14ac:dyDescent="0.25">
      <c r="A8" s="70"/>
      <c r="B8" s="72" t="str">
        <f>+[1]SF!A14</f>
        <v>SF-PY.2.2.Nuevos programas académicos de postgrado presenciales y virtuales</v>
      </c>
      <c r="C8" s="72"/>
      <c r="D8" s="6" t="str">
        <f>[2]SF!D14</f>
        <v>PROGRAMAS ACADÉMICOS</v>
      </c>
      <c r="E8" s="6">
        <f>+[1]SF!B14</f>
        <v>37</v>
      </c>
      <c r="F8" s="6">
        <f>+[1]SF!C14</f>
        <v>45</v>
      </c>
      <c r="G8" s="5">
        <f t="shared" si="4"/>
        <v>8</v>
      </c>
      <c r="H8" s="6">
        <v>4</v>
      </c>
      <c r="I8" s="22">
        <f>+'[1]METAS SF'!M5+'[1]METAS SF'!N5</f>
        <v>4</v>
      </c>
      <c r="J8" s="7">
        <f t="shared" si="5"/>
        <v>1</v>
      </c>
      <c r="K8" s="8" t="str">
        <f t="shared" si="0"/>
        <v>MUY ALTO</v>
      </c>
      <c r="L8" s="7">
        <f t="shared" si="6"/>
        <v>0.46</v>
      </c>
      <c r="M8" s="8" t="str">
        <f t="shared" si="1"/>
        <v>MEDIO</v>
      </c>
      <c r="N8" s="7">
        <f t="shared" si="7"/>
        <v>0.46</v>
      </c>
      <c r="O8" s="8" t="str">
        <f t="shared" si="2"/>
        <v>MEDIO</v>
      </c>
      <c r="P8" s="9">
        <f t="shared" ref="P8:P10" si="8">+S8+T8</f>
        <v>23</v>
      </c>
      <c r="Q8" s="9">
        <f>([1]SF!F14+[1]SF!H14)/1000000</f>
        <v>50</v>
      </c>
      <c r="R8" s="9">
        <f t="shared" ref="R8:R10" si="9">+Q8-P8</f>
        <v>27</v>
      </c>
      <c r="S8" s="9">
        <f>ROUND([1]EV.ACCIONES.aux!M10/1000000*$S$187/$S$188,0)-V8</f>
        <v>1</v>
      </c>
      <c r="T8" s="9">
        <f t="shared" ref="T8:T10" si="10">+U8+V8</f>
        <v>22</v>
      </c>
      <c r="U8" s="10">
        <f>ROUND([2]EV_ACCIONES!$I10/1000000*$S$187/$S$188,0)</f>
        <v>22</v>
      </c>
      <c r="V8" s="10">
        <f>ROUND([3]EV.ACCIONES.aux!$M10/1000000*$S$187/$S$188,0)</f>
        <v>0</v>
      </c>
    </row>
    <row r="9" spans="1:22" s="11" customFormat="1" ht="45" customHeight="1" x14ac:dyDescent="0.25">
      <c r="A9" s="70"/>
      <c r="B9" s="72" t="str">
        <f>+[1]SF!A15</f>
        <v>SF-PY.2.3.Nuevos programas académicos articulados en distintos niveles , ciclos propedéuticos, metodologias y modalidades. PAEME.</v>
      </c>
      <c r="C9" s="72"/>
      <c r="D9" s="6" t="str">
        <f>[2]SF!D15</f>
        <v>PROGRAMAS ACADÉMICOS</v>
      </c>
      <c r="E9" s="6">
        <f>+[1]SF!B15</f>
        <v>0</v>
      </c>
      <c r="F9" s="6">
        <f>+[1]SF!C15</f>
        <v>11</v>
      </c>
      <c r="G9" s="5">
        <f t="shared" si="4"/>
        <v>11</v>
      </c>
      <c r="H9" s="6">
        <v>11</v>
      </c>
      <c r="I9" s="22">
        <f>+'[1]METAS SF'!M6+'[1]METAS SF'!N6</f>
        <v>0</v>
      </c>
      <c r="J9" s="7">
        <f t="shared" si="5"/>
        <v>0</v>
      </c>
      <c r="K9" s="8" t="str">
        <f t="shared" si="0"/>
        <v>MUY BAJO</v>
      </c>
      <c r="L9" s="7">
        <f t="shared" si="6"/>
        <v>8.7999999999999995E-2</v>
      </c>
      <c r="M9" s="8" t="str">
        <f t="shared" si="1"/>
        <v>MUY BAJO</v>
      </c>
      <c r="N9" s="7">
        <f t="shared" si="7"/>
        <v>0</v>
      </c>
      <c r="O9" s="8" t="str">
        <f t="shared" si="2"/>
        <v>MUY BAJO</v>
      </c>
      <c r="P9" s="9">
        <f t="shared" si="8"/>
        <v>33</v>
      </c>
      <c r="Q9" s="9">
        <f>([1]SF!F15+[1]SF!H15)/1000000</f>
        <v>375</v>
      </c>
      <c r="R9" s="9">
        <f t="shared" si="9"/>
        <v>342</v>
      </c>
      <c r="S9" s="9">
        <f>ROUND([1]EV.ACCIONES.aux!M11/1000000*$S$187/$S$188,0)-V9</f>
        <v>0</v>
      </c>
      <c r="T9" s="9">
        <f t="shared" si="10"/>
        <v>33</v>
      </c>
      <c r="U9" s="10">
        <f>ROUND([2]EV_ACCIONES!$I11/1000000*$S$187/$S$188,0)</f>
        <v>33</v>
      </c>
      <c r="V9" s="10">
        <f>ROUND([3]EV.ACCIONES.aux!$M11/1000000*$S$187/$S$188,0)</f>
        <v>0</v>
      </c>
    </row>
    <row r="10" spans="1:22" s="11" customFormat="1" ht="37.15" customHeight="1" x14ac:dyDescent="0.25">
      <c r="A10" s="70"/>
      <c r="B10" s="72" t="str">
        <f>+[1]SF!A16</f>
        <v>SF-PY.2.4.Programas académicos articulados en distintos niveles con la educación media.</v>
      </c>
      <c r="C10" s="72"/>
      <c r="D10" s="6" t="str">
        <f>[2]SF!D16</f>
        <v>PROGRAMAS ACADÉMICOS</v>
      </c>
      <c r="E10" s="6">
        <f>+[1]SF!B16</f>
        <v>0</v>
      </c>
      <c r="F10" s="6">
        <f>+[1]SF!C16</f>
        <v>11</v>
      </c>
      <c r="G10" s="5">
        <f t="shared" si="4"/>
        <v>11</v>
      </c>
      <c r="H10" s="6">
        <v>3</v>
      </c>
      <c r="I10" s="22">
        <f>+'[1]METAS SF'!M7+'[1]METAS SF'!N7</f>
        <v>0</v>
      </c>
      <c r="J10" s="7">
        <f t="shared" si="5"/>
        <v>0</v>
      </c>
      <c r="K10" s="8" t="str">
        <f t="shared" si="0"/>
        <v>MUY BAJO</v>
      </c>
      <c r="L10" s="7">
        <f t="shared" si="6"/>
        <v>0.32592592592592595</v>
      </c>
      <c r="M10" s="8" t="str">
        <f t="shared" si="1"/>
        <v>BAJO</v>
      </c>
      <c r="N10" s="7">
        <f t="shared" si="7"/>
        <v>0</v>
      </c>
      <c r="O10" s="8" t="str">
        <f t="shared" si="2"/>
        <v>MUY BAJO</v>
      </c>
      <c r="P10" s="9">
        <f t="shared" si="8"/>
        <v>88</v>
      </c>
      <c r="Q10" s="9">
        <f>([1]SF!F16+[1]SF!H16)/1000000</f>
        <v>270</v>
      </c>
      <c r="R10" s="9">
        <f t="shared" si="9"/>
        <v>182</v>
      </c>
      <c r="S10" s="9">
        <f>ROUND([1]EV.ACCIONES.aux!M12/1000000*$S$187/$S$188,0)-V10</f>
        <v>0</v>
      </c>
      <c r="T10" s="9">
        <f t="shared" si="10"/>
        <v>88</v>
      </c>
      <c r="U10" s="10">
        <f>ROUND([2]EV_ACCIONES!$I12/1000000*$S$187/$S$188,0)</f>
        <v>88</v>
      </c>
      <c r="V10" s="10">
        <f>ROUND([3]EV.ACCIONES.aux!$M12/1000000*$S$187/$S$188,0)</f>
        <v>0</v>
      </c>
    </row>
    <row r="11" spans="1:22" ht="27" customHeight="1" thickBot="1" x14ac:dyDescent="0.3">
      <c r="A11" s="70"/>
      <c r="B11" s="53" t="s">
        <v>17</v>
      </c>
      <c r="C11" s="53"/>
      <c r="D11" s="23"/>
      <c r="E11" s="23"/>
      <c r="F11" s="23"/>
      <c r="G11" s="23"/>
      <c r="H11" s="23"/>
      <c r="I11" s="23"/>
      <c r="J11" s="24">
        <f>AVERAGE(J7:J10)</f>
        <v>0.25</v>
      </c>
      <c r="K11" s="8" t="str">
        <f t="shared" si="0"/>
        <v>BAJO</v>
      </c>
      <c r="L11" s="24">
        <f>AVERAGE(L7:L10)</f>
        <v>0.52681481481481485</v>
      </c>
      <c r="M11" s="8" t="str">
        <f t="shared" si="1"/>
        <v>MEDIO</v>
      </c>
      <c r="N11" s="24">
        <f>AVERAGE(N7:N10)</f>
        <v>0.115</v>
      </c>
      <c r="O11" s="8" t="str">
        <f t="shared" si="2"/>
        <v>MUY BAJO</v>
      </c>
      <c r="P11" s="14">
        <f>SUM(P7:P10)</f>
        <v>181</v>
      </c>
      <c r="Q11" s="14">
        <f t="shared" ref="Q11:T11" si="11">SUM(Q7:Q10)</f>
        <v>725</v>
      </c>
      <c r="R11" s="14">
        <f t="shared" si="11"/>
        <v>544</v>
      </c>
      <c r="S11" s="14">
        <f t="shared" si="11"/>
        <v>1</v>
      </c>
      <c r="T11" s="14">
        <f t="shared" si="11"/>
        <v>180</v>
      </c>
    </row>
    <row r="12" spans="1:22" s="11" customFormat="1" ht="27" customHeight="1" x14ac:dyDescent="0.25">
      <c r="A12" s="70"/>
      <c r="B12" s="52" t="str">
        <f>+[1]SF!A22</f>
        <v>SF-PY.3.1. Formación de alto nivel en Maestrías</v>
      </c>
      <c r="C12" s="52"/>
      <c r="D12" s="6" t="str">
        <f>[2]SF!D22</f>
        <v>DOCENTES</v>
      </c>
      <c r="E12" s="6">
        <f>+[1]SF!B22</f>
        <v>173</v>
      </c>
      <c r="F12" s="6">
        <f>+[1]SF!C22</f>
        <v>178</v>
      </c>
      <c r="G12" s="5">
        <f t="shared" si="4"/>
        <v>5</v>
      </c>
      <c r="H12" s="6">
        <v>2</v>
      </c>
      <c r="I12" s="22">
        <f>+'[1]METAS SF'!M8+'[1]METAS SF'!N8</f>
        <v>0</v>
      </c>
      <c r="J12" s="7">
        <f t="shared" ref="J12:J16" si="12">+I12/H12</f>
        <v>0</v>
      </c>
      <c r="K12" s="8" t="str">
        <f t="shared" si="0"/>
        <v>MUY BAJO</v>
      </c>
      <c r="L12" s="7">
        <f t="shared" ref="L12:L16" si="13">+P12/Q12</f>
        <v>0</v>
      </c>
      <c r="M12" s="8" t="str">
        <f t="shared" si="1"/>
        <v>MUY BAJO</v>
      </c>
      <c r="N12" s="7">
        <f t="shared" ref="N12:N16" si="14">+J12*L12</f>
        <v>0</v>
      </c>
      <c r="O12" s="8" t="str">
        <f t="shared" si="2"/>
        <v>MUY BAJO</v>
      </c>
      <c r="P12" s="9">
        <f t="shared" ref="P12:P16" si="15">+S12+T12</f>
        <v>0</v>
      </c>
      <c r="Q12" s="9">
        <f>([1]SF!F22+[1]SF!H22)/1000000</f>
        <v>30</v>
      </c>
      <c r="R12" s="9">
        <f t="shared" ref="R12:R16" si="16">+Q12-P12</f>
        <v>30</v>
      </c>
      <c r="S12" s="9">
        <f>ROUND([1]EV.ACCIONES.aux!M13/1000000*$S$187/$S$188,0)-V12</f>
        <v>0</v>
      </c>
      <c r="T12" s="9">
        <f t="shared" ref="T12:T16" si="17">+U12+V12</f>
        <v>0</v>
      </c>
      <c r="U12" s="10">
        <f>ROUND([2]EV_ACCIONES!$I13/1000000*$S$187/$S$188,0)</f>
        <v>0</v>
      </c>
      <c r="V12" s="10">
        <f>ROUND([3]EV.ACCIONES.aux!$M13/1000000*$S$187/$S$188,0)</f>
        <v>0</v>
      </c>
    </row>
    <row r="13" spans="1:22" s="11" customFormat="1" ht="27" customHeight="1" x14ac:dyDescent="0.25">
      <c r="A13" s="70"/>
      <c r="B13" s="52" t="str">
        <f>+[1]SF!A23</f>
        <v>SF-PY.3.2. Formación de alto nivel Doctorados</v>
      </c>
      <c r="C13" s="52"/>
      <c r="D13" s="6" t="str">
        <f>[2]SF!D23</f>
        <v>DOCENTES</v>
      </c>
      <c r="E13" s="6">
        <f>+[1]SF!B23</f>
        <v>54</v>
      </c>
      <c r="F13" s="6">
        <f>+[1]SF!C23</f>
        <v>67</v>
      </c>
      <c r="G13" s="5">
        <f t="shared" si="4"/>
        <v>13</v>
      </c>
      <c r="H13" s="6">
        <v>6</v>
      </c>
      <c r="I13" s="22">
        <f>+'[1]METAS SF'!M9+'[1]METAS SF'!N9</f>
        <v>7</v>
      </c>
      <c r="J13" s="7">
        <f t="shared" si="12"/>
        <v>1.1666666666666667</v>
      </c>
      <c r="K13" s="8" t="str">
        <f t="shared" si="0"/>
        <v>MUY ALTO</v>
      </c>
      <c r="L13" s="7">
        <f t="shared" si="13"/>
        <v>8.293318949029066E-2</v>
      </c>
      <c r="M13" s="8" t="str">
        <f t="shared" si="1"/>
        <v>MUY BAJO</v>
      </c>
      <c r="N13" s="7">
        <f t="shared" si="14"/>
        <v>9.6755387738672441E-2</v>
      </c>
      <c r="O13" s="8" t="str">
        <f t="shared" si="2"/>
        <v>MUY BAJO</v>
      </c>
      <c r="P13" s="9">
        <f t="shared" si="15"/>
        <v>207</v>
      </c>
      <c r="Q13" s="9">
        <f>([1]SF!F23+[1]SF!H23)/1000000</f>
        <v>2495.98503653636</v>
      </c>
      <c r="R13" s="9">
        <f t="shared" si="16"/>
        <v>2288.98503653636</v>
      </c>
      <c r="S13" s="9">
        <f>ROUND([1]EV.ACCIONES.aux!M14/1000000*$S$187/$S$188,0)-V13</f>
        <v>29</v>
      </c>
      <c r="T13" s="9">
        <f t="shared" si="17"/>
        <v>178</v>
      </c>
      <c r="U13" s="10">
        <f>ROUND([2]EV_ACCIONES!$I14/1000000*$S$187/$S$188,0)</f>
        <v>130</v>
      </c>
      <c r="V13" s="10">
        <f>ROUND([3]EV.ACCIONES.aux!$M14/1000000*$S$187/$S$188,0)</f>
        <v>48</v>
      </c>
    </row>
    <row r="14" spans="1:22" s="11" customFormat="1" ht="27" customHeight="1" x14ac:dyDescent="0.25">
      <c r="A14" s="70"/>
      <c r="B14" s="52" t="str">
        <f>+[1]SF!A24</f>
        <v xml:space="preserve">SF-PY.3.3. Estudios de Nivel Pos doctoral </v>
      </c>
      <c r="C14" s="52"/>
      <c r="D14" s="6" t="str">
        <f>[2]SF!D24</f>
        <v>DOCENTES</v>
      </c>
      <c r="E14" s="6">
        <f>+[1]SF!B24</f>
        <v>1</v>
      </c>
      <c r="F14" s="6">
        <f>+[1]SF!C24</f>
        <v>11</v>
      </c>
      <c r="G14" s="5">
        <f t="shared" si="4"/>
        <v>10</v>
      </c>
      <c r="H14" s="6">
        <v>4</v>
      </c>
      <c r="I14" s="22">
        <f>+'[1]METAS SF'!M10+'[1]METAS SF'!N10</f>
        <v>0</v>
      </c>
      <c r="J14" s="7">
        <f t="shared" si="12"/>
        <v>0</v>
      </c>
      <c r="K14" s="8" t="str">
        <f t="shared" si="0"/>
        <v>MUY BAJO</v>
      </c>
      <c r="L14" s="7">
        <f t="shared" si="13"/>
        <v>0</v>
      </c>
      <c r="M14" s="8" t="str">
        <f t="shared" si="1"/>
        <v>MUY BAJO</v>
      </c>
      <c r="N14" s="7">
        <f t="shared" si="14"/>
        <v>0</v>
      </c>
      <c r="O14" s="8" t="str">
        <f t="shared" si="2"/>
        <v>MUY BAJO</v>
      </c>
      <c r="P14" s="9">
        <f t="shared" si="15"/>
        <v>0</v>
      </c>
      <c r="Q14" s="9">
        <f>([1]SF!F24+[1]SF!H24)/1000000</f>
        <v>180</v>
      </c>
      <c r="R14" s="9">
        <f t="shared" si="16"/>
        <v>180</v>
      </c>
      <c r="S14" s="9">
        <f>ROUND([1]EV.ACCIONES.aux!M15/1000000*$S$187/$S$188,0)-V14</f>
        <v>0</v>
      </c>
      <c r="T14" s="9">
        <f t="shared" si="17"/>
        <v>0</v>
      </c>
      <c r="U14" s="10">
        <f>ROUND([2]EV_ACCIONES!$I15/1000000*$S$187/$S$188,0)</f>
        <v>0</v>
      </c>
      <c r="V14" s="10">
        <f>ROUND([3]EV.ACCIONES.aux!$M15/1000000*$S$187/$S$188,0)</f>
        <v>0</v>
      </c>
    </row>
    <row r="15" spans="1:22" s="11" customFormat="1" ht="42" customHeight="1" x14ac:dyDescent="0.25">
      <c r="A15" s="70"/>
      <c r="B15" s="52" t="str">
        <f>+[1]SF!A25</f>
        <v>SF-PY.3.4 Capacitación y actualización individual y colectiva en pedagogías, didácticas, estudios sociales, culturales y estéticos</v>
      </c>
      <c r="C15" s="52"/>
      <c r="D15" s="6" t="str">
        <f>[2]SF!D25</f>
        <v>DOCENTES</v>
      </c>
      <c r="E15" s="6">
        <f>+[1]SF!B25</f>
        <v>346</v>
      </c>
      <c r="F15" s="6">
        <f>+[1]SF!C25</f>
        <v>350</v>
      </c>
      <c r="G15" s="5">
        <f t="shared" si="4"/>
        <v>4</v>
      </c>
      <c r="H15" s="6">
        <v>350</v>
      </c>
      <c r="I15" s="22">
        <f>+'[1]METAS SF'!N11</f>
        <v>28</v>
      </c>
      <c r="J15" s="7">
        <f t="shared" si="12"/>
        <v>0.08</v>
      </c>
      <c r="K15" s="8" t="str">
        <f t="shared" si="0"/>
        <v>MUY BAJO</v>
      </c>
      <c r="L15" s="7">
        <f t="shared" si="13"/>
        <v>0.20859872611464969</v>
      </c>
      <c r="M15" s="8" t="str">
        <f t="shared" si="1"/>
        <v>BAJO</v>
      </c>
      <c r="N15" s="7">
        <f t="shared" si="14"/>
        <v>1.6687898089171975E-2</v>
      </c>
      <c r="O15" s="8" t="str">
        <f t="shared" si="2"/>
        <v>MUY BAJO</v>
      </c>
      <c r="P15" s="9">
        <f t="shared" si="15"/>
        <v>262</v>
      </c>
      <c r="Q15" s="9">
        <f>([1]SF!F25+[1]SF!H25)/1000000</f>
        <v>1256</v>
      </c>
      <c r="R15" s="9">
        <f t="shared" si="16"/>
        <v>994</v>
      </c>
      <c r="S15" s="9">
        <f>ROUND([1]EV.ACCIONES.aux!M16/1000000*$S$187/$S$188,0)-V15</f>
        <v>20</v>
      </c>
      <c r="T15" s="9">
        <f t="shared" si="17"/>
        <v>242</v>
      </c>
      <c r="U15" s="10">
        <f>ROUND([2]EV_ACCIONES!$I16/1000000*$S$187/$S$188,0)</f>
        <v>195</v>
      </c>
      <c r="V15" s="10">
        <f>ROUND([3]EV.ACCIONES.aux!$M16/1000000*$S$187/$S$188,0)</f>
        <v>47</v>
      </c>
    </row>
    <row r="16" spans="1:22" s="11" customFormat="1" ht="27" customHeight="1" x14ac:dyDescent="0.25">
      <c r="A16" s="70"/>
      <c r="B16" s="52" t="str">
        <f>+[1]SF!A26</f>
        <v xml:space="preserve"> SF-PY.3.5 Capacitación en lenguas extranjeras</v>
      </c>
      <c r="C16" s="52"/>
      <c r="D16" s="6" t="str">
        <f>[2]SF!D26</f>
        <v>DOCENTES</v>
      </c>
      <c r="E16" s="6">
        <f>+[1]SF!B26</f>
        <v>64</v>
      </c>
      <c r="F16" s="6">
        <f>+[1]SF!C26</f>
        <v>70</v>
      </c>
      <c r="G16" s="5">
        <f t="shared" si="4"/>
        <v>6</v>
      </c>
      <c r="H16" s="6">
        <v>70</v>
      </c>
      <c r="I16" s="22">
        <f>+'[1]METAS SF'!M12+'[1]METAS SF'!N12</f>
        <v>66</v>
      </c>
      <c r="J16" s="7">
        <f t="shared" si="12"/>
        <v>0.94285714285714284</v>
      </c>
      <c r="K16" s="8" t="str">
        <f t="shared" si="0"/>
        <v>MUY ALTO</v>
      </c>
      <c r="L16" s="7">
        <f t="shared" si="13"/>
        <v>0.10625</v>
      </c>
      <c r="M16" s="8" t="str">
        <f t="shared" si="1"/>
        <v>MUY BAJO</v>
      </c>
      <c r="N16" s="7">
        <f t="shared" si="14"/>
        <v>0.10017857142857142</v>
      </c>
      <c r="O16" s="8" t="str">
        <f t="shared" si="2"/>
        <v>MUY BAJO</v>
      </c>
      <c r="P16" s="9">
        <f t="shared" si="15"/>
        <v>17</v>
      </c>
      <c r="Q16" s="9">
        <f>([1]SF!F26+[1]SF!H26)/1000000</f>
        <v>160</v>
      </c>
      <c r="R16" s="9">
        <f t="shared" si="16"/>
        <v>143</v>
      </c>
      <c r="S16" s="9">
        <f>ROUND([1]EV.ACCIONES.aux!M17/1000000*$S$187/$S$188,0)-V16</f>
        <v>0</v>
      </c>
      <c r="T16" s="9">
        <f t="shared" si="17"/>
        <v>17</v>
      </c>
      <c r="U16" s="10">
        <f>ROUND([2]EV_ACCIONES!$I17/1000000*$S$187/$S$188,0)</f>
        <v>17</v>
      </c>
      <c r="V16" s="10">
        <f>ROUND([3]EV.ACCIONES.aux!$M17/1000000*$S$187/$S$188,0)</f>
        <v>0</v>
      </c>
    </row>
    <row r="17" spans="1:22" ht="30" customHeight="1" thickBot="1" x14ac:dyDescent="0.3">
      <c r="A17" s="70"/>
      <c r="B17" s="53" t="s">
        <v>18</v>
      </c>
      <c r="C17" s="53"/>
      <c r="D17" s="23"/>
      <c r="E17" s="23"/>
      <c r="F17" s="23"/>
      <c r="G17" s="23"/>
      <c r="H17" s="23"/>
      <c r="I17" s="23"/>
      <c r="J17" s="24">
        <f>AVERAGE(J12:J16)</f>
        <v>0.43790476190476191</v>
      </c>
      <c r="K17" s="8" t="str">
        <f t="shared" si="0"/>
        <v>MEDIO</v>
      </c>
      <c r="L17" s="24">
        <f>AVERAGE(L12:L16)</f>
        <v>7.9556383120988075E-2</v>
      </c>
      <c r="M17" s="8" t="str">
        <f t="shared" si="1"/>
        <v>MUY BAJO</v>
      </c>
      <c r="N17" s="24">
        <f>AVERAGE(N12:N16)</f>
        <v>4.2724371451283168E-2</v>
      </c>
      <c r="O17" s="8" t="str">
        <f t="shared" si="2"/>
        <v>MUY BAJO</v>
      </c>
      <c r="P17" s="14">
        <f>SUM(P12:P16)</f>
        <v>486</v>
      </c>
      <c r="Q17" s="14">
        <f t="shared" ref="Q17:T17" si="18">SUM(Q12:Q16)</f>
        <v>4121.98503653636</v>
      </c>
      <c r="R17" s="14">
        <f t="shared" si="18"/>
        <v>3635.98503653636</v>
      </c>
      <c r="S17" s="14">
        <f t="shared" si="18"/>
        <v>49</v>
      </c>
      <c r="T17" s="14">
        <f t="shared" si="18"/>
        <v>437</v>
      </c>
    </row>
    <row r="18" spans="1:22" s="11" customFormat="1" ht="30" customHeight="1" x14ac:dyDescent="0.25">
      <c r="A18" s="70"/>
      <c r="B18" s="52" t="str">
        <f>+[1]SF!A32</f>
        <v>SF-PY.4.1 Procesos de autoevaluación de programas de pregrado y postgrado</v>
      </c>
      <c r="C18" s="52"/>
      <c r="D18" s="6" t="str">
        <f>[2]SF!D32</f>
        <v>PROCESOS</v>
      </c>
      <c r="E18" s="6">
        <f>+[1]SF!B32</f>
        <v>73</v>
      </c>
      <c r="F18" s="6">
        <f>+[1]SF!C32</f>
        <v>73</v>
      </c>
      <c r="G18" s="5">
        <f t="shared" si="4"/>
        <v>0</v>
      </c>
      <c r="H18" s="6">
        <v>73</v>
      </c>
      <c r="I18" s="22">
        <f>+'[1]METAS SF'!M13+'[1]METAS SF'!N13</f>
        <v>35</v>
      </c>
      <c r="J18" s="7">
        <f t="shared" ref="J18:J20" si="19">+I18/H18</f>
        <v>0.47945205479452052</v>
      </c>
      <c r="K18" s="8" t="str">
        <f t="shared" si="0"/>
        <v>MEDIO</v>
      </c>
      <c r="L18" s="7">
        <f t="shared" ref="L18:L20" si="20">+P18/Q18</f>
        <v>1.0131147540983607</v>
      </c>
      <c r="M18" s="8" t="str">
        <f t="shared" si="1"/>
        <v>MUY ALTO</v>
      </c>
      <c r="N18" s="7">
        <f t="shared" ref="N18:N20" si="21">+J18*L18</f>
        <v>0.48573995059510444</v>
      </c>
      <c r="O18" s="8" t="str">
        <f t="shared" si="2"/>
        <v>MEDIO</v>
      </c>
      <c r="P18" s="9">
        <f t="shared" ref="P18:P20" si="22">+S18+T18</f>
        <v>309</v>
      </c>
      <c r="Q18" s="9">
        <f>([1]SF!F32+[1]SF!H32)/1000000</f>
        <v>305</v>
      </c>
      <c r="R18" s="9">
        <f t="shared" ref="R18:R20" si="23">+Q18-P18</f>
        <v>-4</v>
      </c>
      <c r="S18" s="9">
        <f>ROUND([1]EV.ACCIONES.aux!M18/1000000*$S$187/$S$188,0)-V18</f>
        <v>21</v>
      </c>
      <c r="T18" s="9">
        <f t="shared" ref="T18:T20" si="24">+U18+V18</f>
        <v>288</v>
      </c>
      <c r="U18" s="10">
        <f>ROUND([2]EV_ACCIONES!$I18/1000000*$S$187/$S$188,0)</f>
        <v>176</v>
      </c>
      <c r="V18" s="10">
        <f>ROUND([3]EV.ACCIONES.aux!$M18/1000000*$S$187/$S$188,0)</f>
        <v>112</v>
      </c>
    </row>
    <row r="19" spans="1:22" s="11" customFormat="1" ht="30" customHeight="1" x14ac:dyDescent="0.25">
      <c r="A19" s="70"/>
      <c r="B19" s="52" t="str">
        <f>+[1]SF!A33</f>
        <v>SF-PY.4.2 Actualización curricular pertinente y coherente con el PEU, PEF, PEP.</v>
      </c>
      <c r="C19" s="52"/>
      <c r="D19" s="6" t="str">
        <f>[2]SF!D33</f>
        <v>PROCESOS</v>
      </c>
      <c r="E19" s="6">
        <f>+[1]SF!B33</f>
        <v>73</v>
      </c>
      <c r="F19" s="6">
        <f>+[1]SF!C33</f>
        <v>73</v>
      </c>
      <c r="G19" s="5">
        <f t="shared" si="4"/>
        <v>0</v>
      </c>
      <c r="H19" s="6">
        <v>73</v>
      </c>
      <c r="I19" s="22">
        <f>+'[1]METAS SF'!M14+'[1]METAS SF'!N14</f>
        <v>8</v>
      </c>
      <c r="J19" s="7">
        <f t="shared" si="19"/>
        <v>0.1095890410958904</v>
      </c>
      <c r="K19" s="8" t="str">
        <f t="shared" si="0"/>
        <v>MUY BAJO</v>
      </c>
      <c r="L19" s="7">
        <f t="shared" si="20"/>
        <v>2.6785714285714284E-2</v>
      </c>
      <c r="M19" s="8" t="str">
        <f t="shared" si="1"/>
        <v>MUY BAJO</v>
      </c>
      <c r="N19" s="7">
        <f t="shared" si="21"/>
        <v>2.9354207436399216E-3</v>
      </c>
      <c r="O19" s="8" t="str">
        <f t="shared" si="2"/>
        <v>MUY BAJO</v>
      </c>
      <c r="P19" s="9">
        <f t="shared" si="22"/>
        <v>3</v>
      </c>
      <c r="Q19" s="9">
        <f>([1]SF!F33+[1]SF!H33)/1000000</f>
        <v>112</v>
      </c>
      <c r="R19" s="9">
        <f t="shared" si="23"/>
        <v>109</v>
      </c>
      <c r="S19" s="9">
        <f>ROUND([1]EV.ACCIONES.aux!M19/1000000*$S$187/$S$188,0)-V19</f>
        <v>0</v>
      </c>
      <c r="T19" s="9">
        <f t="shared" si="24"/>
        <v>3</v>
      </c>
      <c r="U19" s="10">
        <f>ROUND([2]EV_ACCIONES!$I19/1000000*$S$187/$S$188,0)</f>
        <v>3</v>
      </c>
      <c r="V19" s="10">
        <f>ROUND([3]EV.ACCIONES.aux!$M19/1000000*$S$187/$S$188,0)</f>
        <v>0</v>
      </c>
    </row>
    <row r="20" spans="1:22" s="11" customFormat="1" ht="43.9" customHeight="1" x14ac:dyDescent="0.25">
      <c r="A20" s="70"/>
      <c r="B20" s="52" t="str">
        <f>+[1]SF!A34</f>
        <v>SF-PY.4.3 Procesos de autoevaluacion y mejoramiento de la calidad para la renovacion de  acreditacion de alta calidad institucional</v>
      </c>
      <c r="C20" s="52"/>
      <c r="D20" s="6" t="str">
        <f>[2]SF!D34</f>
        <v>RESOLUCIÓN ACREDITACIÓN</v>
      </c>
      <c r="E20" s="6">
        <f>+[1]SF!B34</f>
        <v>1</v>
      </c>
      <c r="F20" s="6">
        <f>+[1]SF!C34</f>
        <v>1</v>
      </c>
      <c r="G20" s="5">
        <f t="shared" si="4"/>
        <v>0</v>
      </c>
      <c r="H20" s="25">
        <v>0.5</v>
      </c>
      <c r="I20" s="22">
        <f>+'[1]METAS SF'!M15+'[1]METAS SF'!N15</f>
        <v>0.35</v>
      </c>
      <c r="J20" s="7">
        <f t="shared" si="19"/>
        <v>0.7</v>
      </c>
      <c r="K20" s="8" t="str">
        <f t="shared" si="0"/>
        <v>ALTO</v>
      </c>
      <c r="L20" s="7">
        <f t="shared" si="20"/>
        <v>0.91</v>
      </c>
      <c r="M20" s="8" t="str">
        <f t="shared" si="1"/>
        <v>MUY ALTO</v>
      </c>
      <c r="N20" s="7">
        <f t="shared" si="21"/>
        <v>0.63700000000000001</v>
      </c>
      <c r="O20" s="8" t="str">
        <f t="shared" si="2"/>
        <v>ALTO</v>
      </c>
      <c r="P20" s="9">
        <f t="shared" si="22"/>
        <v>182</v>
      </c>
      <c r="Q20" s="9">
        <f>([1]SF!F34+[1]SF!H34)/1000000</f>
        <v>200</v>
      </c>
      <c r="R20" s="9">
        <f t="shared" si="23"/>
        <v>18</v>
      </c>
      <c r="S20" s="9">
        <f>ROUND([1]EV.ACCIONES.aux!M20/1000000*$S$187/$S$188,0)-V20</f>
        <v>0</v>
      </c>
      <c r="T20" s="9">
        <f t="shared" si="24"/>
        <v>182</v>
      </c>
      <c r="U20" s="10">
        <f>ROUND([2]EV_ACCIONES!$I20/1000000*$S$187/$S$188,0)</f>
        <v>107</v>
      </c>
      <c r="V20" s="10">
        <f>ROUND([3]EV.ACCIONES.aux!$M20/1000000*$S$187/$S$188,0)</f>
        <v>75</v>
      </c>
    </row>
    <row r="21" spans="1:22" ht="30" customHeight="1" thickBot="1" x14ac:dyDescent="0.3">
      <c r="A21" s="70"/>
      <c r="B21" s="53" t="s">
        <v>19</v>
      </c>
      <c r="C21" s="53"/>
      <c r="D21" s="23"/>
      <c r="E21" s="23"/>
      <c r="F21" s="23"/>
      <c r="G21" s="23"/>
      <c r="H21" s="23"/>
      <c r="I21" s="23"/>
      <c r="J21" s="24">
        <f>AVERAGE(J18:J20)</f>
        <v>0.42968036529680359</v>
      </c>
      <c r="K21" s="8" t="str">
        <f t="shared" si="0"/>
        <v>MEDIO</v>
      </c>
      <c r="L21" s="24">
        <f>AVERAGE(L18:L20)</f>
        <v>0.64996682279469165</v>
      </c>
      <c r="M21" s="8" t="str">
        <f t="shared" si="1"/>
        <v>ALTO</v>
      </c>
      <c r="N21" s="24">
        <f>AVERAGE(N18:N20)</f>
        <v>0.37522512377958145</v>
      </c>
      <c r="O21" s="8" t="str">
        <f t="shared" si="2"/>
        <v>BAJO</v>
      </c>
      <c r="P21" s="14">
        <f>SUM(P18:P20)</f>
        <v>494</v>
      </c>
      <c r="Q21" s="14">
        <f t="shared" ref="Q21:T21" si="25">SUM(Q18:Q20)</f>
        <v>617</v>
      </c>
      <c r="R21" s="14">
        <f t="shared" si="25"/>
        <v>123</v>
      </c>
      <c r="S21" s="14">
        <f t="shared" si="25"/>
        <v>21</v>
      </c>
      <c r="T21" s="14">
        <f t="shared" si="25"/>
        <v>473</v>
      </c>
    </row>
    <row r="22" spans="1:22" s="11" customFormat="1" ht="30" customHeight="1" x14ac:dyDescent="0.25">
      <c r="A22" s="70"/>
      <c r="B22" s="52" t="str">
        <f>+[1]SF!A40</f>
        <v>SF-PY.5.1 Diseño y puesta en marcha politica de relevo generacional</v>
      </c>
      <c r="C22" s="52"/>
      <c r="D22" s="6" t="str">
        <f>[2]SF!D40</f>
        <v># ESTUDIANTES</v>
      </c>
      <c r="E22" s="6">
        <f>+[1]SF!B40</f>
        <v>0</v>
      </c>
      <c r="F22" s="6">
        <f>+[1]SF!C40</f>
        <v>10</v>
      </c>
      <c r="G22" s="5">
        <f t="shared" si="4"/>
        <v>10</v>
      </c>
      <c r="H22" s="6">
        <v>4</v>
      </c>
      <c r="I22" s="22">
        <f>+'[1]METAS SF'!M16+'[1]METAS SF'!N16</f>
        <v>0</v>
      </c>
      <c r="J22" s="7">
        <f>+I22/H22</f>
        <v>0</v>
      </c>
      <c r="K22" s="8" t="str">
        <f t="shared" si="0"/>
        <v>MUY BAJO</v>
      </c>
      <c r="L22" s="7">
        <f>+P22/Q22</f>
        <v>0.1</v>
      </c>
      <c r="M22" s="8" t="str">
        <f t="shared" si="1"/>
        <v>MUY BAJO</v>
      </c>
      <c r="N22" s="7">
        <f>+J22*L22</f>
        <v>0</v>
      </c>
      <c r="O22" s="8" t="str">
        <f t="shared" si="2"/>
        <v>MUY BAJO</v>
      </c>
      <c r="P22" s="9">
        <f t="shared" ref="P22" si="26">+S22+T22</f>
        <v>4</v>
      </c>
      <c r="Q22" s="9">
        <f>([1]SF!F40+[1]SF!H40)/1000000</f>
        <v>40</v>
      </c>
      <c r="R22" s="9">
        <f t="shared" ref="R22" si="27">+Q22-P22</f>
        <v>36</v>
      </c>
      <c r="S22" s="9">
        <f>ROUND([1]EV.ACCIONES.aux!M21/1000000*$S$187/$S$188,0)-V22</f>
        <v>0</v>
      </c>
      <c r="T22" s="9">
        <f t="shared" ref="T22" si="28">+U22+V22</f>
        <v>4</v>
      </c>
      <c r="U22" s="10">
        <f>ROUND([2]EV_ACCIONES!$I21/1000000*$S$187/$S$188,0)</f>
        <v>4</v>
      </c>
      <c r="V22" s="10">
        <f>ROUND([3]EV.ACCIONES.aux!$M21/1000000*$S$187/$S$188,0)</f>
        <v>0</v>
      </c>
    </row>
    <row r="23" spans="1:22" ht="27" customHeight="1" thickBot="1" x14ac:dyDescent="0.3">
      <c r="A23" s="70"/>
      <c r="B23" s="53" t="s">
        <v>20</v>
      </c>
      <c r="C23" s="53"/>
      <c r="D23" s="23"/>
      <c r="E23" s="23"/>
      <c r="F23" s="23"/>
      <c r="G23" s="23"/>
      <c r="H23" s="23"/>
      <c r="I23" s="23"/>
      <c r="J23" s="24">
        <f>AVERAGE(J22)</f>
        <v>0</v>
      </c>
      <c r="K23" s="8" t="str">
        <f t="shared" si="0"/>
        <v>MUY BAJO</v>
      </c>
      <c r="L23" s="24">
        <f>AVERAGE(L22)</f>
        <v>0.1</v>
      </c>
      <c r="M23" s="8" t="str">
        <f t="shared" si="1"/>
        <v>MUY BAJO</v>
      </c>
      <c r="N23" s="24">
        <f>AVERAGE(N22)</f>
        <v>0</v>
      </c>
      <c r="O23" s="8" t="str">
        <f t="shared" si="2"/>
        <v>MUY BAJO</v>
      </c>
      <c r="P23" s="14">
        <f>SUM(P22)</f>
        <v>4</v>
      </c>
      <c r="Q23" s="14">
        <f t="shared" ref="Q23:T23" si="29">SUM(Q22)</f>
        <v>40</v>
      </c>
      <c r="R23" s="14">
        <f t="shared" si="29"/>
        <v>36</v>
      </c>
      <c r="S23" s="14">
        <f t="shared" si="29"/>
        <v>0</v>
      </c>
      <c r="T23" s="14">
        <f t="shared" si="29"/>
        <v>4</v>
      </c>
    </row>
    <row r="24" spans="1:22" s="11" customFormat="1" ht="39" customHeight="1" x14ac:dyDescent="0.25">
      <c r="A24" s="70"/>
      <c r="B24" s="52" t="str">
        <f>+[1]SF!A46</f>
        <v xml:space="preserve">SF-PY.6.1. Portal y Observatorio Laboral, para enlace laboral y orientar proyectos de emprendimiento. </v>
      </c>
      <c r="C24" s="52"/>
      <c r="D24" s="6" t="str">
        <f>[2]SF!D46</f>
        <v xml:space="preserve">GRADUADOS </v>
      </c>
      <c r="E24" s="6">
        <f>+[1]SF!B46</f>
        <v>1</v>
      </c>
      <c r="F24" s="6">
        <f>+[1]SF!C46</f>
        <v>1</v>
      </c>
      <c r="G24" s="5">
        <f t="shared" si="4"/>
        <v>0</v>
      </c>
      <c r="H24" s="6">
        <v>1</v>
      </c>
      <c r="I24" s="22">
        <f>+'[1]METAS SF'!M17</f>
        <v>1</v>
      </c>
      <c r="J24" s="7">
        <f t="shared" ref="J24:J26" si="30">+I24/H24</f>
        <v>1</v>
      </c>
      <c r="K24" s="8" t="str">
        <f t="shared" si="0"/>
        <v>MUY ALTO</v>
      </c>
      <c r="L24" s="7">
        <f t="shared" ref="L24:L26" si="31">+P24/Q24</f>
        <v>0.625</v>
      </c>
      <c r="M24" s="8" t="str">
        <f t="shared" si="1"/>
        <v>ALTO</v>
      </c>
      <c r="N24" s="7">
        <f t="shared" ref="N24:N26" si="32">+J24*L24</f>
        <v>0.625</v>
      </c>
      <c r="O24" s="8" t="str">
        <f t="shared" si="2"/>
        <v>ALTO</v>
      </c>
      <c r="P24" s="9">
        <f t="shared" ref="P24:P26" si="33">+S24+T24</f>
        <v>25</v>
      </c>
      <c r="Q24" s="9">
        <f>([1]SF!F46+[1]SF!H46)/1000000</f>
        <v>40</v>
      </c>
      <c r="R24" s="9">
        <f t="shared" ref="R24:R26" si="34">+Q24-P24</f>
        <v>15</v>
      </c>
      <c r="S24" s="9">
        <f>ROUND([1]EV.ACCIONES.aux!M22/1000000*$S$187/$S$188,0)-V24</f>
        <v>14</v>
      </c>
      <c r="T24" s="9">
        <f t="shared" ref="T24:T26" si="35">+U24+V24</f>
        <v>11</v>
      </c>
      <c r="U24" s="10">
        <f>ROUND([2]EV_ACCIONES!$I22/1000000*$S$187/$S$188,0)</f>
        <v>11</v>
      </c>
      <c r="V24" s="10">
        <f>ROUND([3]EV.ACCIONES.aux!$M22/1000000*$S$187/$S$188,0)</f>
        <v>0</v>
      </c>
    </row>
    <row r="25" spans="1:22" s="11" customFormat="1" ht="27" customHeight="1" x14ac:dyDescent="0.25">
      <c r="A25" s="70"/>
      <c r="B25" s="52" t="str">
        <f>+[1]SF!A47</f>
        <v>SF-PY.6.2. Programa de Seguimiento, evaluación y encuentros de graduados</v>
      </c>
      <c r="C25" s="52"/>
      <c r="D25" s="6" t="str">
        <f>[2]SF!D47</f>
        <v xml:space="preserve">GRADUADOS </v>
      </c>
      <c r="E25" s="6">
        <f>+[1]SF!B47</f>
        <v>10</v>
      </c>
      <c r="F25" s="6">
        <f>+[1]SF!C47</f>
        <v>70</v>
      </c>
      <c r="G25" s="5">
        <f t="shared" si="4"/>
        <v>60</v>
      </c>
      <c r="H25" s="6">
        <v>20</v>
      </c>
      <c r="I25" s="22">
        <f>+'[1]METAS SF'!M18+'[1]METAS SF'!N18</f>
        <v>0</v>
      </c>
      <c r="J25" s="7">
        <f t="shared" si="30"/>
        <v>0</v>
      </c>
      <c r="K25" s="8" t="str">
        <f t="shared" si="0"/>
        <v>MUY BAJO</v>
      </c>
      <c r="L25" s="7">
        <f t="shared" si="31"/>
        <v>0.37333333333333335</v>
      </c>
      <c r="M25" s="8" t="str">
        <f t="shared" si="1"/>
        <v>BAJO</v>
      </c>
      <c r="N25" s="7">
        <f t="shared" si="32"/>
        <v>0</v>
      </c>
      <c r="O25" s="8" t="str">
        <f t="shared" si="2"/>
        <v>MUY BAJO</v>
      </c>
      <c r="P25" s="9">
        <f t="shared" si="33"/>
        <v>112</v>
      </c>
      <c r="Q25" s="9">
        <f>([1]SF!F47+[1]SF!H47)/1000000</f>
        <v>300</v>
      </c>
      <c r="R25" s="9">
        <f t="shared" si="34"/>
        <v>188</v>
      </c>
      <c r="S25" s="9">
        <f>ROUND([1]EV.ACCIONES.aux!M23/1000000*$S$187/$S$188,0)-V25</f>
        <v>21</v>
      </c>
      <c r="T25" s="9">
        <f t="shared" si="35"/>
        <v>91</v>
      </c>
      <c r="U25" s="10">
        <f>ROUND([2]EV_ACCIONES!$I23/1000000*$S$187/$S$188,0)</f>
        <v>66</v>
      </c>
      <c r="V25" s="10">
        <f>ROUND([3]EV.ACCIONES.aux!$M23/1000000*$S$187/$S$188,0)</f>
        <v>25</v>
      </c>
    </row>
    <row r="26" spans="1:22" s="11" customFormat="1" ht="55.15" customHeight="1" x14ac:dyDescent="0.25">
      <c r="A26" s="70"/>
      <c r="B26" s="52" t="str">
        <f>+[1]SF!A48</f>
        <v>SF-PY.6.3.Fomento de proyectos para  asociaciones, convenios, movilidad  y vinculación a proyección social e investigación para graduados.</v>
      </c>
      <c r="C26" s="52"/>
      <c r="D26" s="6" t="str">
        <f>[2]SF!D48</f>
        <v xml:space="preserve">GRADUADOS </v>
      </c>
      <c r="E26" s="6">
        <f>+[1]SF!B48</f>
        <v>20</v>
      </c>
      <c r="F26" s="6">
        <f>+[1]SF!C48</f>
        <v>140</v>
      </c>
      <c r="G26" s="5">
        <f t="shared" si="4"/>
        <v>120</v>
      </c>
      <c r="H26" s="6">
        <v>40</v>
      </c>
      <c r="I26" s="22">
        <f>+'[1]METAS SF'!M19+'[1]METAS SF'!N19</f>
        <v>16</v>
      </c>
      <c r="J26" s="7">
        <f t="shared" si="30"/>
        <v>0.4</v>
      </c>
      <c r="K26" s="8" t="str">
        <f t="shared" si="0"/>
        <v>BAJO</v>
      </c>
      <c r="L26" s="7">
        <f t="shared" si="31"/>
        <v>0.09</v>
      </c>
      <c r="M26" s="8" t="str">
        <f t="shared" si="1"/>
        <v>MUY BAJO</v>
      </c>
      <c r="N26" s="7">
        <f t="shared" si="32"/>
        <v>3.5999999999999997E-2</v>
      </c>
      <c r="O26" s="8" t="str">
        <f t="shared" si="2"/>
        <v>MUY BAJO</v>
      </c>
      <c r="P26" s="9">
        <f t="shared" si="33"/>
        <v>18</v>
      </c>
      <c r="Q26" s="9">
        <f>([1]SF!F48+[1]SF!H48)/1000000</f>
        <v>200</v>
      </c>
      <c r="R26" s="9">
        <f t="shared" si="34"/>
        <v>182</v>
      </c>
      <c r="S26" s="9">
        <f>ROUND([1]EV.ACCIONES.aux!M24/1000000*$S$187/$S$188,0)-V26</f>
        <v>11</v>
      </c>
      <c r="T26" s="9">
        <f t="shared" si="35"/>
        <v>7</v>
      </c>
      <c r="U26" s="10">
        <f>ROUND([2]EV_ACCIONES!$I24/1000000*$S$187/$S$188,0)</f>
        <v>7</v>
      </c>
      <c r="V26" s="10">
        <f>ROUND([3]EV.ACCIONES.aux!$M24/1000000*$S$187/$S$188,0)</f>
        <v>0</v>
      </c>
    </row>
    <row r="27" spans="1:22" ht="27" customHeight="1" thickBot="1" x14ac:dyDescent="0.3">
      <c r="A27" s="71"/>
      <c r="B27" s="53" t="s">
        <v>21</v>
      </c>
      <c r="C27" s="53"/>
      <c r="D27" s="23"/>
      <c r="E27" s="23"/>
      <c r="F27" s="23"/>
      <c r="G27" s="23"/>
      <c r="H27" s="23"/>
      <c r="I27" s="23"/>
      <c r="J27" s="24">
        <f>AVERAGE(J24:J26)</f>
        <v>0.46666666666666662</v>
      </c>
      <c r="K27" s="8" t="str">
        <f t="shared" si="0"/>
        <v>MEDIO</v>
      </c>
      <c r="L27" s="24">
        <f>AVERAGE(L24:L26)</f>
        <v>0.36277777777777781</v>
      </c>
      <c r="M27" s="8" t="str">
        <f t="shared" si="1"/>
        <v>BAJO</v>
      </c>
      <c r="N27" s="24">
        <f>AVERAGE(N24:N26)</f>
        <v>0.22033333333333335</v>
      </c>
      <c r="O27" s="8" t="str">
        <f t="shared" si="2"/>
        <v>BAJO</v>
      </c>
      <c r="P27" s="14">
        <f>SUM(P24:P26)</f>
        <v>155</v>
      </c>
      <c r="Q27" s="14">
        <f t="shared" ref="Q27:T27" si="36">SUM(Q24:Q26)</f>
        <v>540</v>
      </c>
      <c r="R27" s="14">
        <f t="shared" si="36"/>
        <v>385</v>
      </c>
      <c r="S27" s="14">
        <f t="shared" si="36"/>
        <v>46</v>
      </c>
      <c r="T27" s="14">
        <f t="shared" si="36"/>
        <v>109</v>
      </c>
    </row>
    <row r="28" spans="1:22" ht="31.9" customHeight="1" x14ac:dyDescent="0.25">
      <c r="A28" s="26"/>
      <c r="B28" s="51" t="s">
        <v>22</v>
      </c>
      <c r="C28" s="51"/>
      <c r="D28" s="27"/>
      <c r="E28" s="27"/>
      <c r="F28" s="27"/>
      <c r="G28" s="27"/>
      <c r="H28" s="27"/>
      <c r="I28" s="27"/>
      <c r="J28" s="28">
        <f>AVERAGE(J27,J23,J21,J17,J11,J6)</f>
        <v>0.41327807675581646</v>
      </c>
      <c r="K28" s="8" t="str">
        <f t="shared" si="0"/>
        <v>MEDIO</v>
      </c>
      <c r="L28" s="28">
        <f>AVERAGE(L27,L23,L21,L17,L11,L6)</f>
        <v>0.35984247048308604</v>
      </c>
      <c r="M28" s="8" t="str">
        <f t="shared" si="1"/>
        <v>BAJO</v>
      </c>
      <c r="N28" s="28">
        <f>AVERAGE(N27,N23,N21,N17,N11,N6)</f>
        <v>0.1933323684463365</v>
      </c>
      <c r="O28" s="8" t="str">
        <f t="shared" si="2"/>
        <v>MUY BAJO</v>
      </c>
      <c r="P28" s="29">
        <f>+P27+P23+P21+P17+P11+P6</f>
        <v>1441</v>
      </c>
      <c r="Q28" s="29">
        <f t="shared" ref="Q28:T28" si="37">+Q27+Q23+Q21+Q17+Q11+Q6</f>
        <v>6328.98503653636</v>
      </c>
      <c r="R28" s="29">
        <f t="shared" si="37"/>
        <v>4887.98503653636</v>
      </c>
      <c r="S28" s="29">
        <f t="shared" si="37"/>
        <v>143</v>
      </c>
      <c r="T28" s="29">
        <f t="shared" si="37"/>
        <v>1298</v>
      </c>
    </row>
    <row r="29" spans="1:22" s="11" customFormat="1" ht="31.9" customHeight="1" x14ac:dyDescent="0.25">
      <c r="A29" s="61" t="s">
        <v>23</v>
      </c>
      <c r="B29" s="52" t="str">
        <f>[2]SI!A6</f>
        <v>SI-PY.1.1 Talleres de formación</v>
      </c>
      <c r="C29" s="52"/>
      <c r="D29" s="6" t="str">
        <f>[2]SI!D6</f>
        <v># talleres</v>
      </c>
      <c r="E29" s="6">
        <f>+[1]SI!B6</f>
        <v>36</v>
      </c>
      <c r="F29" s="6">
        <f>+[1]SI!C6</f>
        <v>240</v>
      </c>
      <c r="G29" s="5">
        <f t="shared" ref="G29:G31" si="38">+F29-E29</f>
        <v>204</v>
      </c>
      <c r="H29" s="6">
        <v>68</v>
      </c>
      <c r="I29" s="30">
        <f>+'[1]METAS SI'!G2+'[1]METAS SI'!I2</f>
        <v>21</v>
      </c>
      <c r="J29" s="7">
        <f t="shared" ref="J29:J31" si="39">+I29/H29</f>
        <v>0.30882352941176472</v>
      </c>
      <c r="K29" s="8" t="str">
        <f t="shared" si="0"/>
        <v>BAJO</v>
      </c>
      <c r="L29" s="7">
        <f t="shared" ref="L29:L31" si="40">+P29/Q29</f>
        <v>8.7542087542087546E-2</v>
      </c>
      <c r="M29" s="8" t="str">
        <f t="shared" si="1"/>
        <v>MUY BAJO</v>
      </c>
      <c r="N29" s="7">
        <f t="shared" ref="N29:N31" si="41">+J29*L29</f>
        <v>2.7035056446821155E-2</v>
      </c>
      <c r="O29" s="8" t="str">
        <f t="shared" si="2"/>
        <v>MUY BAJO</v>
      </c>
      <c r="P29" s="9">
        <f t="shared" ref="P29" si="42">+S29+T29</f>
        <v>26</v>
      </c>
      <c r="Q29" s="9">
        <f>([1]SI!F6+[1]SI!H6)/1000000</f>
        <v>297</v>
      </c>
      <c r="R29" s="9">
        <f t="shared" ref="R29" si="43">+Q29-P29</f>
        <v>271</v>
      </c>
      <c r="S29" s="9">
        <f>ROUND([1]EV.ACCIONES.aux!M25/1000000*$S$187/$S$188,0)-V29</f>
        <v>0</v>
      </c>
      <c r="T29" s="9">
        <f t="shared" ref="T29" si="44">+U29+V29</f>
        <v>26</v>
      </c>
      <c r="U29" s="10">
        <f>ROUND([2]EV_ACCIONES!$I25/1000000*$S$187/$S$188,0)</f>
        <v>26</v>
      </c>
      <c r="V29" s="10">
        <f>ROUND([3]EV.ACCIONES.aux!$M25/1000000*$S$187/$S$188,0)</f>
        <v>0</v>
      </c>
    </row>
    <row r="30" spans="1:22" s="11" customFormat="1" ht="31.9" customHeight="1" x14ac:dyDescent="0.25">
      <c r="A30" s="62"/>
      <c r="B30" s="52" t="str">
        <f>[2]SI!A6</f>
        <v>SI-PY.1.1 Talleres de formación</v>
      </c>
      <c r="C30" s="52"/>
      <c r="D30" s="6" t="str">
        <f>[2]SI!D7</f>
        <v xml:space="preserve"># personas </v>
      </c>
      <c r="E30" s="6">
        <f>+[1]SI!B7</f>
        <v>158</v>
      </c>
      <c r="F30" s="6">
        <f>+[1]SI!C7</f>
        <v>4078</v>
      </c>
      <c r="G30" s="5">
        <f t="shared" si="38"/>
        <v>3920</v>
      </c>
      <c r="H30" s="6">
        <v>1235</v>
      </c>
      <c r="I30" s="30">
        <f>+'[1]METAS SI'!G3+'[1]METAS SI'!I3</f>
        <v>970</v>
      </c>
      <c r="J30" s="7">
        <f t="shared" si="39"/>
        <v>0.78542510121457487</v>
      </c>
      <c r="K30" s="8" t="str">
        <f t="shared" si="0"/>
        <v>ALTO</v>
      </c>
      <c r="L30" s="7"/>
      <c r="M30" s="8"/>
      <c r="N30" s="7"/>
      <c r="O30" s="8"/>
      <c r="P30" s="31"/>
      <c r="Q30" s="31"/>
      <c r="R30" s="31"/>
      <c r="S30" s="31"/>
      <c r="T30" s="31"/>
    </row>
    <row r="31" spans="1:22" s="11" customFormat="1" ht="31.9" customHeight="1" x14ac:dyDescent="0.25">
      <c r="A31" s="62"/>
      <c r="B31" s="52" t="str">
        <f>[2]SI!A8</f>
        <v>SI-PY.1.2 Grupos escolares</v>
      </c>
      <c r="C31" s="52"/>
      <c r="D31" s="6" t="str">
        <f>[2]SI!D8</f>
        <v># niños (personas)</v>
      </c>
      <c r="E31" s="6">
        <f>+[1]SI!B8</f>
        <v>900</v>
      </c>
      <c r="F31" s="6">
        <f>+[1]SI!C8</f>
        <v>3450</v>
      </c>
      <c r="G31" s="5">
        <f t="shared" si="38"/>
        <v>2550</v>
      </c>
      <c r="H31" s="6">
        <v>930</v>
      </c>
      <c r="I31" s="30">
        <f>+'[1]METAS SI'!G4+'[1]METAS SI'!I4</f>
        <v>450</v>
      </c>
      <c r="J31" s="7">
        <f t="shared" si="39"/>
        <v>0.4838709677419355</v>
      </c>
      <c r="K31" s="8" t="str">
        <f t="shared" si="0"/>
        <v>MEDIO</v>
      </c>
      <c r="L31" s="7">
        <f t="shared" si="40"/>
        <v>4.0322580645161289E-2</v>
      </c>
      <c r="M31" s="8" t="str">
        <f t="shared" si="1"/>
        <v>MUY BAJO</v>
      </c>
      <c r="N31" s="7">
        <f t="shared" si="41"/>
        <v>1.9510926118626429E-2</v>
      </c>
      <c r="O31" s="8" t="str">
        <f t="shared" si="2"/>
        <v>MUY BAJO</v>
      </c>
      <c r="P31" s="9">
        <f t="shared" ref="P31" si="45">+S31+T31</f>
        <v>3</v>
      </c>
      <c r="Q31" s="9">
        <f>([1]SI!F8+[1]SI!H8)/1000000</f>
        <v>74.400000000000006</v>
      </c>
      <c r="R31" s="9">
        <f t="shared" ref="R31" si="46">+Q31-P31</f>
        <v>71.400000000000006</v>
      </c>
      <c r="S31" s="9">
        <f>ROUND([1]EV.ACCIONES.aux!M26/1000000*$S$187/$S$188,0)-V31</f>
        <v>0</v>
      </c>
      <c r="T31" s="9">
        <f t="shared" ref="T31" si="47">+U31+V31</f>
        <v>3</v>
      </c>
      <c r="U31" s="10">
        <f>ROUND([2]EV_ACCIONES!$I26/1000000*$S$187/$S$188,0)</f>
        <v>0</v>
      </c>
      <c r="V31" s="10">
        <f>ROUND([3]EV.ACCIONES.aux!$M26/1000000*$S$187/$S$188,0)</f>
        <v>3</v>
      </c>
    </row>
    <row r="32" spans="1:22" ht="30" customHeight="1" thickBot="1" x14ac:dyDescent="0.3">
      <c r="A32" s="62"/>
      <c r="B32" s="53" t="s">
        <v>24</v>
      </c>
      <c r="C32" s="53"/>
      <c r="D32" s="23"/>
      <c r="E32" s="23"/>
      <c r="F32" s="23"/>
      <c r="G32" s="23"/>
      <c r="H32" s="23"/>
      <c r="I32" s="23"/>
      <c r="J32" s="24">
        <f>AVERAGE(J29:J31)</f>
        <v>0.52603986612275833</v>
      </c>
      <c r="K32" s="8" t="str">
        <f t="shared" si="0"/>
        <v>MEDIO</v>
      </c>
      <c r="L32" s="24">
        <f>AVERAGE(L29:L31)</f>
        <v>6.3932334093624421E-2</v>
      </c>
      <c r="M32" s="8" t="str">
        <f t="shared" si="1"/>
        <v>MUY BAJO</v>
      </c>
      <c r="N32" s="24">
        <f>AVERAGE(N29:N31)</f>
        <v>2.3272991282723792E-2</v>
      </c>
      <c r="O32" s="8" t="str">
        <f t="shared" si="2"/>
        <v>MUY BAJO</v>
      </c>
      <c r="P32" s="14">
        <f>SUM(P29:P31)</f>
        <v>29</v>
      </c>
      <c r="Q32" s="14">
        <f t="shared" ref="Q32:T32" si="48">SUM(Q29:Q31)</f>
        <v>371.4</v>
      </c>
      <c r="R32" s="14">
        <f t="shared" si="48"/>
        <v>342.4</v>
      </c>
      <c r="S32" s="14">
        <f t="shared" si="48"/>
        <v>0</v>
      </c>
      <c r="T32" s="14">
        <f t="shared" si="48"/>
        <v>29</v>
      </c>
    </row>
    <row r="33" spans="1:22" s="11" customFormat="1" ht="30" customHeight="1" x14ac:dyDescent="0.25">
      <c r="A33" s="62"/>
      <c r="B33" s="52" t="str">
        <f>[2]SI!A14</f>
        <v>SI-PY.2.1 Semilleros</v>
      </c>
      <c r="C33" s="52"/>
      <c r="D33" s="6" t="str">
        <f>[2]SI!D14</f>
        <v># proyectos</v>
      </c>
      <c r="E33" s="6">
        <f>+[1]SI!B14</f>
        <v>66</v>
      </c>
      <c r="F33" s="6">
        <f>+[1]SI!C14</f>
        <v>337</v>
      </c>
      <c r="G33" s="5">
        <f t="shared" ref="G33:G39" si="49">+F33-E33</f>
        <v>271</v>
      </c>
      <c r="H33" s="6">
        <v>104</v>
      </c>
      <c r="I33" s="22">
        <f>+'[1]METAS SI'!G5+'[1]METAS SI'!I5</f>
        <v>140</v>
      </c>
      <c r="J33" s="7">
        <f t="shared" ref="J33:J39" si="50">+I33/H33</f>
        <v>1.3461538461538463</v>
      </c>
      <c r="K33" s="8" t="str">
        <f t="shared" si="0"/>
        <v>MUY ALTO</v>
      </c>
      <c r="L33" s="7">
        <f t="shared" ref="L33:L39" si="51">+P33/Q33</f>
        <v>9.4643059697629997E-2</v>
      </c>
      <c r="M33" s="8" t="str">
        <f t="shared" si="1"/>
        <v>MUY BAJO</v>
      </c>
      <c r="N33" s="7">
        <f t="shared" ref="N33:N39" si="52">+J33*L33</f>
        <v>0.1274041188237327</v>
      </c>
      <c r="O33" s="8" t="str">
        <f t="shared" si="2"/>
        <v>MUY BAJO</v>
      </c>
      <c r="P33" s="9">
        <f t="shared" ref="P33:P39" si="53">+S33+T33</f>
        <v>49</v>
      </c>
      <c r="Q33" s="9">
        <f>([1]SI!F14+[1]SI!H14)/1000000</f>
        <v>517.73474099999999</v>
      </c>
      <c r="R33" s="9">
        <f t="shared" ref="R33:R39" si="54">+Q33-P33</f>
        <v>468.73474099999999</v>
      </c>
      <c r="S33" s="9">
        <f>ROUND([1]EV.ACCIONES.aux!M27/1000000*$S$187/$S$188,0)-V33</f>
        <v>6</v>
      </c>
      <c r="T33" s="9">
        <f t="shared" ref="T33:T39" si="55">+U33+V33</f>
        <v>43</v>
      </c>
      <c r="U33" s="10">
        <f>ROUND([2]EV_ACCIONES!$I27/1000000*$S$187/$S$188,0)</f>
        <v>37</v>
      </c>
      <c r="V33" s="10">
        <f>ROUND([3]EV.ACCIONES.aux!$M27/1000000*$S$187/$S$188,0)</f>
        <v>6</v>
      </c>
    </row>
    <row r="34" spans="1:22" s="11" customFormat="1" ht="30" customHeight="1" x14ac:dyDescent="0.25">
      <c r="A34" s="62"/>
      <c r="B34" s="52" t="str">
        <f>[2]SI!A15</f>
        <v>SI-PY.2.2 Trabajos de grado</v>
      </c>
      <c r="C34" s="52"/>
      <c r="D34" s="6" t="str">
        <f>[2]SI!D15</f>
        <v># proyectos</v>
      </c>
      <c r="E34" s="6">
        <f>+[1]SI!B15</f>
        <v>134</v>
      </c>
      <c r="F34" s="6">
        <f>+[1]SI!C15</f>
        <v>201</v>
      </c>
      <c r="G34" s="5">
        <f t="shared" si="49"/>
        <v>67</v>
      </c>
      <c r="H34" s="6">
        <v>22</v>
      </c>
      <c r="I34" s="22">
        <f>+'[1]METAS SI'!G6+'[1]METAS SI'!I6</f>
        <v>20</v>
      </c>
      <c r="J34" s="7">
        <f t="shared" si="50"/>
        <v>0.90909090909090906</v>
      </c>
      <c r="K34" s="8" t="str">
        <f t="shared" si="0"/>
        <v>MUY ALTO</v>
      </c>
      <c r="L34" s="7">
        <f t="shared" si="51"/>
        <v>4.3811610076670317E-2</v>
      </c>
      <c r="M34" s="8" t="str">
        <f t="shared" si="1"/>
        <v>MUY BAJO</v>
      </c>
      <c r="N34" s="7">
        <f t="shared" si="52"/>
        <v>3.9828736433336648E-2</v>
      </c>
      <c r="O34" s="8" t="str">
        <f t="shared" si="2"/>
        <v>MUY BAJO</v>
      </c>
      <c r="P34" s="9">
        <f t="shared" si="53"/>
        <v>4</v>
      </c>
      <c r="Q34" s="9">
        <f>([1]SI!F15+[1]SI!H15)/1000000</f>
        <v>91.3</v>
      </c>
      <c r="R34" s="9">
        <f t="shared" si="54"/>
        <v>87.3</v>
      </c>
      <c r="S34" s="9">
        <f>ROUND([1]EV.ACCIONES.aux!M28/1000000*$S$187/$S$188,0)-V34</f>
        <v>1</v>
      </c>
      <c r="T34" s="9">
        <f t="shared" si="55"/>
        <v>3</v>
      </c>
      <c r="U34" s="10">
        <f>ROUND([2]EV_ACCIONES!$I28/1000000*$S$187/$S$188,0)</f>
        <v>3</v>
      </c>
      <c r="V34" s="10">
        <f>ROUND([3]EV.ACCIONES.aux!$M28/1000000*$S$187/$S$188,0)</f>
        <v>0</v>
      </c>
    </row>
    <row r="35" spans="1:22" s="11" customFormat="1" ht="30" customHeight="1" x14ac:dyDescent="0.25">
      <c r="A35" s="62"/>
      <c r="B35" s="52" t="str">
        <f>[2]SI!A16</f>
        <v>SI-PY.2.3 Menor cuantía</v>
      </c>
      <c r="C35" s="52"/>
      <c r="D35" s="6" t="str">
        <f>[2]SI!D16</f>
        <v># proyectos</v>
      </c>
      <c r="E35" s="6">
        <f>+[1]SI!B16</f>
        <v>44</v>
      </c>
      <c r="F35" s="6">
        <f>+[1]SI!C16</f>
        <v>264</v>
      </c>
      <c r="G35" s="5">
        <f t="shared" si="49"/>
        <v>220</v>
      </c>
      <c r="H35" s="6">
        <v>85</v>
      </c>
      <c r="I35" s="22">
        <f>+'[1]METAS SI'!G7+'[1]METAS SI'!I7</f>
        <v>120</v>
      </c>
      <c r="J35" s="7">
        <f t="shared" si="50"/>
        <v>1.411764705882353</v>
      </c>
      <c r="K35" s="8" t="str">
        <f t="shared" si="0"/>
        <v>MUY ALTO</v>
      </c>
      <c r="L35" s="7">
        <f t="shared" si="51"/>
        <v>0.23463946209135172</v>
      </c>
      <c r="M35" s="8" t="str">
        <f t="shared" si="1"/>
        <v>BAJO</v>
      </c>
      <c r="N35" s="7">
        <f t="shared" si="52"/>
        <v>0.33125571118779068</v>
      </c>
      <c r="O35" s="8" t="str">
        <f t="shared" si="2"/>
        <v>BAJO</v>
      </c>
      <c r="P35" s="9">
        <f t="shared" si="53"/>
        <v>506</v>
      </c>
      <c r="Q35" s="9">
        <f>([1]SI!F16+[1]SI!H16)/1000000</f>
        <v>2156.5</v>
      </c>
      <c r="R35" s="9">
        <f t="shared" si="54"/>
        <v>1650.5</v>
      </c>
      <c r="S35" s="9">
        <f>ROUND([1]EV.ACCIONES.aux!M29/1000000*$S$187/$S$188,0)-V35</f>
        <v>122</v>
      </c>
      <c r="T35" s="9">
        <f t="shared" si="55"/>
        <v>384</v>
      </c>
      <c r="U35" s="10">
        <f>ROUND([2]EV_ACCIONES!$I29/1000000*$S$187/$S$188,0)</f>
        <v>343</v>
      </c>
      <c r="V35" s="10">
        <f>ROUND([3]EV.ACCIONES.aux!$M29/1000000*$S$187/$S$188,0)</f>
        <v>41</v>
      </c>
    </row>
    <row r="36" spans="1:22" s="11" customFormat="1" ht="30" customHeight="1" x14ac:dyDescent="0.25">
      <c r="A36" s="62"/>
      <c r="B36" s="52" t="str">
        <f>[2]SI!A17</f>
        <v>SI-PY.2.4 Mediana cuantía</v>
      </c>
      <c r="C36" s="52"/>
      <c r="D36" s="6" t="str">
        <f>[2]SI!D17</f>
        <v># proyectos</v>
      </c>
      <c r="E36" s="6">
        <f>+[1]SI!B17</f>
        <v>4</v>
      </c>
      <c r="F36" s="6">
        <f>+[1]SI!C17</f>
        <v>40</v>
      </c>
      <c r="G36" s="5">
        <f t="shared" si="49"/>
        <v>36</v>
      </c>
      <c r="H36" s="6">
        <v>12</v>
      </c>
      <c r="I36" s="22">
        <f>+'[1]METAS SI'!G8+'[1]METAS SI'!I8</f>
        <v>21</v>
      </c>
      <c r="J36" s="7">
        <f t="shared" si="50"/>
        <v>1.75</v>
      </c>
      <c r="K36" s="8" t="str">
        <f t="shared" si="0"/>
        <v>MUY ALTO</v>
      </c>
      <c r="L36" s="7">
        <f t="shared" si="51"/>
        <v>0.48694779116465864</v>
      </c>
      <c r="M36" s="8" t="str">
        <f t="shared" si="1"/>
        <v>MEDIO</v>
      </c>
      <c r="N36" s="7">
        <f t="shared" si="52"/>
        <v>0.85215863453815266</v>
      </c>
      <c r="O36" s="8" t="str">
        <f t="shared" si="2"/>
        <v>MUY ALTO</v>
      </c>
      <c r="P36" s="9">
        <f t="shared" si="53"/>
        <v>291</v>
      </c>
      <c r="Q36" s="9">
        <f>([1]SI!F17+[1]SI!H17)/1000000</f>
        <v>597.6</v>
      </c>
      <c r="R36" s="9">
        <f t="shared" si="54"/>
        <v>306.60000000000002</v>
      </c>
      <c r="S36" s="9">
        <f>ROUND([1]EV.ACCIONES.aux!M30/1000000*$S$187/$S$188,0)-V36</f>
        <v>101</v>
      </c>
      <c r="T36" s="9">
        <f t="shared" si="55"/>
        <v>190</v>
      </c>
      <c r="U36" s="10">
        <f>ROUND([2]EV_ACCIONES!$I30/1000000*$S$187/$S$188,0)</f>
        <v>162</v>
      </c>
      <c r="V36" s="10">
        <f>ROUND([3]EV.ACCIONES.aux!$M30/1000000*$S$187/$S$188,0)</f>
        <v>28</v>
      </c>
    </row>
    <row r="37" spans="1:22" s="11" customFormat="1" ht="30" customHeight="1" x14ac:dyDescent="0.25">
      <c r="A37" s="62"/>
      <c r="B37" s="52" t="str">
        <f>[2]SI!A18</f>
        <v>SI-PY.2.5 Mayor cuantía</v>
      </c>
      <c r="C37" s="52"/>
      <c r="D37" s="6" t="str">
        <f>[2]SI!D18</f>
        <v># proyectos</v>
      </c>
      <c r="E37" s="6">
        <f>+[1]SI!B18</f>
        <v>0</v>
      </c>
      <c r="F37" s="6">
        <f>+[1]SI!C18</f>
        <v>10</v>
      </c>
      <c r="G37" s="5">
        <f t="shared" si="49"/>
        <v>10</v>
      </c>
      <c r="H37" s="6">
        <v>5</v>
      </c>
      <c r="I37" s="22">
        <f>+'[1]METAS SI'!G9+'[1]METAS SI'!I9</f>
        <v>4</v>
      </c>
      <c r="J37" s="7">
        <f t="shared" si="50"/>
        <v>0.8</v>
      </c>
      <c r="K37" s="8" t="str">
        <f t="shared" si="0"/>
        <v>ALTO</v>
      </c>
      <c r="L37" s="7">
        <f t="shared" si="51"/>
        <v>0.04</v>
      </c>
      <c r="M37" s="8" t="str">
        <f t="shared" si="1"/>
        <v>MUY BAJO</v>
      </c>
      <c r="N37" s="7">
        <f t="shared" si="52"/>
        <v>3.2000000000000001E-2</v>
      </c>
      <c r="O37" s="8" t="str">
        <f t="shared" si="2"/>
        <v>MUY BAJO</v>
      </c>
      <c r="P37" s="9">
        <f t="shared" si="53"/>
        <v>20</v>
      </c>
      <c r="Q37" s="9">
        <f>([1]SI!F18+[1]SI!H18)/1000000</f>
        <v>500</v>
      </c>
      <c r="R37" s="9">
        <f t="shared" si="54"/>
        <v>480</v>
      </c>
      <c r="S37" s="9">
        <f>ROUND([1]EV.ACCIONES.aux!M31/1000000*$S$187/$S$188,0)-V37</f>
        <v>13</v>
      </c>
      <c r="T37" s="9">
        <f t="shared" si="55"/>
        <v>7</v>
      </c>
      <c r="U37" s="10">
        <f>ROUND([2]EV_ACCIONES!$I31/1000000*$S$187/$S$188,0)</f>
        <v>7</v>
      </c>
      <c r="V37" s="10">
        <f>ROUND([3]EV.ACCIONES.aux!$M31/1000000*$S$187/$S$188,0)</f>
        <v>0</v>
      </c>
    </row>
    <row r="38" spans="1:22" s="11" customFormat="1" ht="30" customHeight="1" x14ac:dyDescent="0.25">
      <c r="A38" s="62"/>
      <c r="B38" s="52" t="str">
        <f>[2]SI!A19</f>
        <v>SI-PY.2.6 Doctorados</v>
      </c>
      <c r="C38" s="52"/>
      <c r="D38" s="6" t="str">
        <f>[2]SI!D19</f>
        <v># proyectos</v>
      </c>
      <c r="E38" s="6">
        <f>+[1]SI!B19</f>
        <v>0</v>
      </c>
      <c r="F38" s="6">
        <f>+[1]SI!C19</f>
        <v>30</v>
      </c>
      <c r="G38" s="5">
        <f t="shared" si="49"/>
        <v>30</v>
      </c>
      <c r="H38" s="6">
        <v>10</v>
      </c>
      <c r="I38" s="22">
        <f>+'[1]METAS SI'!G10+'[1]METAS SI'!I10</f>
        <v>3</v>
      </c>
      <c r="J38" s="7">
        <f t="shared" si="50"/>
        <v>0.3</v>
      </c>
      <c r="K38" s="8" t="str">
        <f t="shared" si="0"/>
        <v>BAJO</v>
      </c>
      <c r="L38" s="7">
        <f t="shared" si="51"/>
        <v>0</v>
      </c>
      <c r="M38" s="8" t="str">
        <f t="shared" si="1"/>
        <v>MUY BAJO</v>
      </c>
      <c r="N38" s="7">
        <f t="shared" si="52"/>
        <v>0</v>
      </c>
      <c r="O38" s="8" t="str">
        <f t="shared" si="2"/>
        <v>MUY BAJO</v>
      </c>
      <c r="P38" s="9">
        <f t="shared" si="53"/>
        <v>0</v>
      </c>
      <c r="Q38" s="9">
        <f>([1]SI!F19+[1]SI!H19)/1000000</f>
        <v>300</v>
      </c>
      <c r="R38" s="9">
        <f t="shared" si="54"/>
        <v>300</v>
      </c>
      <c r="S38" s="9">
        <f>ROUND([1]EV.ACCIONES.aux!M32/1000000*$S$187/$S$188,0)-V38</f>
        <v>0</v>
      </c>
      <c r="T38" s="9">
        <f t="shared" si="55"/>
        <v>0</v>
      </c>
      <c r="U38" s="10">
        <f>ROUND([2]EV_ACCIONES!$I32/1000000*$S$187/$S$188,0)</f>
        <v>0</v>
      </c>
      <c r="V38" s="10">
        <f>ROUND([3]EV.ACCIONES.aux!$M32/1000000*$S$187/$S$188,0)</f>
        <v>0</v>
      </c>
    </row>
    <row r="39" spans="1:22" s="11" customFormat="1" ht="30" customHeight="1" x14ac:dyDescent="0.25">
      <c r="A39" s="62"/>
      <c r="B39" s="52" t="str">
        <f>[2]SI!A20</f>
        <v>SI-PY.2.7 Jovenes Investigadores</v>
      </c>
      <c r="C39" s="52"/>
      <c r="D39" s="6" t="str">
        <f>[2]SI!D20</f>
        <v># proyectos</v>
      </c>
      <c r="E39" s="6">
        <f>+[1]SI!B20</f>
        <v>66</v>
      </c>
      <c r="F39" s="6">
        <f>+[1]SI!C20</f>
        <v>109</v>
      </c>
      <c r="G39" s="5">
        <f t="shared" si="49"/>
        <v>43</v>
      </c>
      <c r="H39" s="6">
        <v>22</v>
      </c>
      <c r="I39" s="22">
        <f>+'[1]METAS SI'!G11+'[1]METAS SI'!I11</f>
        <v>59</v>
      </c>
      <c r="J39" s="7">
        <f t="shared" si="50"/>
        <v>2.6818181818181817</v>
      </c>
      <c r="K39" s="8" t="str">
        <f t="shared" si="0"/>
        <v>MUY ALTO</v>
      </c>
      <c r="L39" s="7">
        <f t="shared" si="51"/>
        <v>0.32778387608244908</v>
      </c>
      <c r="M39" s="8" t="str">
        <f t="shared" si="1"/>
        <v>BAJO</v>
      </c>
      <c r="N39" s="7">
        <f t="shared" si="52"/>
        <v>0.87905675858474974</v>
      </c>
      <c r="O39" s="8" t="str">
        <f t="shared" si="2"/>
        <v>MUY ALTO</v>
      </c>
      <c r="P39" s="9">
        <f t="shared" si="53"/>
        <v>215</v>
      </c>
      <c r="Q39" s="9">
        <f>([1]SI!F20+[1]SI!H20)/1000000</f>
        <v>655.92</v>
      </c>
      <c r="R39" s="9">
        <f t="shared" si="54"/>
        <v>440.91999999999996</v>
      </c>
      <c r="S39" s="9">
        <f>ROUND([1]EV.ACCIONES.aux!M33/1000000*$S$187/$S$188,0)-V39</f>
        <v>1</v>
      </c>
      <c r="T39" s="9">
        <f t="shared" si="55"/>
        <v>214</v>
      </c>
      <c r="U39" s="10">
        <f>ROUND([2]EV_ACCIONES!$I33/1000000*$S$187/$S$188,0)</f>
        <v>192</v>
      </c>
      <c r="V39" s="10">
        <f>ROUND([3]EV.ACCIONES.aux!$M33/1000000*$S$187/$S$188,0)</f>
        <v>22</v>
      </c>
    </row>
    <row r="40" spans="1:22" ht="27" customHeight="1" thickBot="1" x14ac:dyDescent="0.3">
      <c r="A40" s="62"/>
      <c r="B40" s="53" t="s">
        <v>25</v>
      </c>
      <c r="C40" s="53"/>
      <c r="D40" s="23"/>
      <c r="E40" s="23"/>
      <c r="F40" s="23"/>
      <c r="G40" s="23"/>
      <c r="H40" s="23"/>
      <c r="I40" s="23"/>
      <c r="J40" s="24">
        <f>AVERAGE(J33:J39)</f>
        <v>1.3141182347064699</v>
      </c>
      <c r="K40" s="8" t="str">
        <f t="shared" si="0"/>
        <v>MUY ALTO</v>
      </c>
      <c r="L40" s="24">
        <f>AVERAGE(L33:L39)</f>
        <v>0.17540368558753711</v>
      </c>
      <c r="M40" s="8" t="str">
        <f t="shared" si="1"/>
        <v>MUY BAJO</v>
      </c>
      <c r="N40" s="24">
        <f>AVERAGE(N33:N39)</f>
        <v>0.32310056565253753</v>
      </c>
      <c r="O40" s="8" t="str">
        <f t="shared" si="2"/>
        <v>BAJO</v>
      </c>
      <c r="P40" s="14">
        <f>SUM(P33:P39)</f>
        <v>1085</v>
      </c>
      <c r="Q40" s="14">
        <f t="shared" ref="Q40:T40" si="56">SUM(Q33:Q39)</f>
        <v>4819.0547409999999</v>
      </c>
      <c r="R40" s="14">
        <f t="shared" si="56"/>
        <v>3734.0547409999999</v>
      </c>
      <c r="S40" s="14">
        <f t="shared" si="56"/>
        <v>244</v>
      </c>
      <c r="T40" s="14">
        <f t="shared" si="56"/>
        <v>841</v>
      </c>
    </row>
    <row r="41" spans="1:22" s="11" customFormat="1" ht="42.6" customHeight="1" x14ac:dyDescent="0.25">
      <c r="A41" s="62"/>
      <c r="B41" s="52" t="str">
        <f>[2]SI!A26</f>
        <v>SI-PY.3.1 Eventos académico- científicos</v>
      </c>
      <c r="C41" s="52"/>
      <c r="D41" s="6" t="str">
        <f>[2]SI!D26</f>
        <v># eventos académico-científicos</v>
      </c>
      <c r="E41" s="6">
        <f>+[1]SI!B26</f>
        <v>31</v>
      </c>
      <c r="F41" s="6">
        <f>+[1]SI!C26</f>
        <v>163</v>
      </c>
      <c r="G41" s="5">
        <f t="shared" ref="G41:G51" si="57">+F41-E41</f>
        <v>132</v>
      </c>
      <c r="H41" s="6">
        <v>42</v>
      </c>
      <c r="I41" s="22">
        <f>+'[1]METAS SI'!G12+'[1]METAS SI'!I12</f>
        <v>13</v>
      </c>
      <c r="J41" s="7">
        <f t="shared" ref="J41:J53" si="58">+I41/H41</f>
        <v>0.30952380952380953</v>
      </c>
      <c r="K41" s="8" t="str">
        <f t="shared" si="0"/>
        <v>BAJO</v>
      </c>
      <c r="L41" s="7">
        <f t="shared" ref="L41:L53" si="59">+P41/Q41</f>
        <v>4.8000000000000001E-2</v>
      </c>
      <c r="M41" s="8" t="str">
        <f t="shared" si="1"/>
        <v>MUY BAJO</v>
      </c>
      <c r="N41" s="7">
        <f t="shared" ref="N41:N53" si="60">+J41*L41</f>
        <v>1.4857142857142859E-2</v>
      </c>
      <c r="O41" s="8" t="str">
        <f t="shared" si="2"/>
        <v>MUY BAJO</v>
      </c>
      <c r="P41" s="9">
        <f t="shared" ref="P41:P53" si="61">+S41+T41</f>
        <v>18</v>
      </c>
      <c r="Q41" s="9">
        <f>([1]SI!F26+[1]SI!H26)/1000000</f>
        <v>375</v>
      </c>
      <c r="R41" s="9">
        <f t="shared" ref="R41:R53" si="62">+Q41-P41</f>
        <v>357</v>
      </c>
      <c r="S41" s="9">
        <f>ROUND([1]EV.ACCIONES.aux!M34/1000000*$S$187/$S$188,0)-V41</f>
        <v>1</v>
      </c>
      <c r="T41" s="9">
        <f t="shared" ref="T41:T46" si="63">+U41+V41</f>
        <v>17</v>
      </c>
      <c r="U41" s="10">
        <f>ROUND([2]EV_ACCIONES!$I34/1000000*$S$187/$S$188,0)</f>
        <v>14</v>
      </c>
      <c r="V41" s="10">
        <f>ROUND([3]EV.ACCIONES.aux!$M34/1000000*$S$187/$S$188,0)</f>
        <v>3</v>
      </c>
    </row>
    <row r="42" spans="1:22" s="11" customFormat="1" ht="40.9" customHeight="1" x14ac:dyDescent="0.25">
      <c r="A42" s="62"/>
      <c r="B42" s="52" t="str">
        <f>[2]SI!A27</f>
        <v>SI-PY.3.2 Ponencias</v>
      </c>
      <c r="C42" s="52"/>
      <c r="D42" s="6" t="str">
        <f>[2]SI!D27</f>
        <v># ponencias  a nivel nacional e intrernacional</v>
      </c>
      <c r="E42" s="6">
        <f>+[1]SI!B27</f>
        <v>85</v>
      </c>
      <c r="F42" s="6">
        <f>+[1]SI!C27</f>
        <v>610</v>
      </c>
      <c r="G42" s="5">
        <f t="shared" si="57"/>
        <v>525</v>
      </c>
      <c r="H42" s="6">
        <v>180</v>
      </c>
      <c r="I42" s="22">
        <f>+'[1]METAS SI'!G13+'[1]METAS SI'!I13</f>
        <v>19</v>
      </c>
      <c r="J42" s="7">
        <f t="shared" si="58"/>
        <v>0.10555555555555556</v>
      </c>
      <c r="K42" s="8" t="str">
        <f t="shared" si="0"/>
        <v>MUY BAJO</v>
      </c>
      <c r="L42" s="7">
        <f t="shared" si="59"/>
        <v>0.06</v>
      </c>
      <c r="M42" s="8" t="str">
        <f t="shared" si="1"/>
        <v>MUY BAJO</v>
      </c>
      <c r="N42" s="7">
        <f t="shared" si="60"/>
        <v>6.3333333333333332E-3</v>
      </c>
      <c r="O42" s="8" t="str">
        <f t="shared" si="2"/>
        <v>MUY BAJO</v>
      </c>
      <c r="P42" s="9">
        <f t="shared" si="61"/>
        <v>27</v>
      </c>
      <c r="Q42" s="9">
        <f>([1]SI!F27+[1]SI!H27)/1000000</f>
        <v>450</v>
      </c>
      <c r="R42" s="9">
        <f t="shared" si="62"/>
        <v>423</v>
      </c>
      <c r="S42" s="9">
        <f>ROUND([1]EV.ACCIONES.aux!M35/1000000*$S$187/$S$188,0)-V42</f>
        <v>9</v>
      </c>
      <c r="T42" s="9">
        <f t="shared" si="63"/>
        <v>18</v>
      </c>
      <c r="U42" s="10">
        <f>ROUND([2]EV_ACCIONES!$I35/1000000*$S$187/$S$188,0)</f>
        <v>10</v>
      </c>
      <c r="V42" s="10">
        <f>ROUND([3]EV.ACCIONES.aux!$M35/1000000*$S$187/$S$188,0)</f>
        <v>8</v>
      </c>
    </row>
    <row r="43" spans="1:22" s="11" customFormat="1" ht="34.15" customHeight="1" x14ac:dyDescent="0.25">
      <c r="A43" s="62"/>
      <c r="B43" s="52" t="str">
        <f>[2]SI!A28</f>
        <v>SI-PY.3.3 Vinculación y Desarrollo en redes académicas, científicas e investigativas</v>
      </c>
      <c r="C43" s="52"/>
      <c r="D43" s="6" t="str">
        <f>[2]SI!D28</f>
        <v># de Redes</v>
      </c>
      <c r="E43" s="6">
        <f>+[1]SI!B28</f>
        <v>1</v>
      </c>
      <c r="F43" s="6">
        <f>+[1]SI!C28</f>
        <v>7</v>
      </c>
      <c r="G43" s="6">
        <f>+F43</f>
        <v>7</v>
      </c>
      <c r="H43" s="6">
        <v>7</v>
      </c>
      <c r="I43" s="22">
        <f>+'[1]METAS SI'!I14</f>
        <v>4</v>
      </c>
      <c r="J43" s="7">
        <f t="shared" si="58"/>
        <v>0.5714285714285714</v>
      </c>
      <c r="K43" s="8" t="str">
        <f t="shared" si="0"/>
        <v>MEDIO</v>
      </c>
      <c r="L43" s="7">
        <f t="shared" si="59"/>
        <v>1.3571428571428572</v>
      </c>
      <c r="M43" s="8" t="str">
        <f t="shared" si="1"/>
        <v>MUY ALTO</v>
      </c>
      <c r="N43" s="7">
        <f t="shared" si="60"/>
        <v>0.77551020408163263</v>
      </c>
      <c r="O43" s="8" t="str">
        <f t="shared" si="2"/>
        <v>ALTO</v>
      </c>
      <c r="P43" s="9">
        <f t="shared" si="61"/>
        <v>38</v>
      </c>
      <c r="Q43" s="9">
        <f>([1]SI!F28+[1]SI!H28)/1000000</f>
        <v>28</v>
      </c>
      <c r="R43" s="9">
        <f t="shared" si="62"/>
        <v>-10</v>
      </c>
      <c r="S43" s="9">
        <f>ROUND([1]EV.ACCIONES.aux!M36/1000000*$S$187/$S$188,0)-V43</f>
        <v>26</v>
      </c>
      <c r="T43" s="9">
        <f t="shared" si="63"/>
        <v>12</v>
      </c>
      <c r="U43" s="10">
        <f>ROUND([2]EV_ACCIONES!$I36/1000000*$S$187/$S$188,0)</f>
        <v>12</v>
      </c>
      <c r="V43" s="10">
        <f>ROUND([3]EV.ACCIONES.aux!$M36/1000000*$S$187/$S$188,0)</f>
        <v>0</v>
      </c>
    </row>
    <row r="44" spans="1:22" s="11" customFormat="1" ht="38.450000000000003" customHeight="1" x14ac:dyDescent="0.25">
      <c r="A44" s="62"/>
      <c r="B44" s="52" t="str">
        <f>[2]SI!A29</f>
        <v>SI-PY.3.4 Fortalecimiento de los Centros  e Institutos de Investigación</v>
      </c>
      <c r="C44" s="52"/>
      <c r="D44" s="6" t="str">
        <f>[2]SI!D29</f>
        <v># Centros de Investigación</v>
      </c>
      <c r="E44" s="6">
        <f>+[1]SI!B29</f>
        <v>6</v>
      </c>
      <c r="F44" s="6">
        <f>+[1]SI!C29</f>
        <v>7</v>
      </c>
      <c r="G44" s="5">
        <f t="shared" si="57"/>
        <v>1</v>
      </c>
      <c r="H44" s="6">
        <v>7</v>
      </c>
      <c r="I44" s="22">
        <f>+'[1]METAS SI'!I15</f>
        <v>4</v>
      </c>
      <c r="J44" s="7">
        <f t="shared" si="58"/>
        <v>0.5714285714285714</v>
      </c>
      <c r="K44" s="8" t="str">
        <f t="shared" si="0"/>
        <v>MEDIO</v>
      </c>
      <c r="L44" s="7">
        <f t="shared" si="59"/>
        <v>0.7</v>
      </c>
      <c r="M44" s="8" t="str">
        <f t="shared" si="1"/>
        <v>ALTO</v>
      </c>
      <c r="N44" s="7">
        <f t="shared" si="60"/>
        <v>0.39999999999999997</v>
      </c>
      <c r="O44" s="8" t="str">
        <f t="shared" si="2"/>
        <v>BAJO</v>
      </c>
      <c r="P44" s="9">
        <f t="shared" si="61"/>
        <v>343</v>
      </c>
      <c r="Q44" s="9">
        <f>([1]SI!F29+[1]SI!H29)/1000000</f>
        <v>490</v>
      </c>
      <c r="R44" s="9">
        <f t="shared" si="62"/>
        <v>147</v>
      </c>
      <c r="S44" s="9">
        <f>ROUND([1]EV.ACCIONES.aux!M37/1000000*$S$187/$S$188,0)-V44</f>
        <v>59</v>
      </c>
      <c r="T44" s="9">
        <f t="shared" si="63"/>
        <v>284</v>
      </c>
      <c r="U44" s="10">
        <f>ROUND([2]EV_ACCIONES!$I37/1000000*$S$187/$S$188,0)</f>
        <v>248</v>
      </c>
      <c r="V44" s="10">
        <f>ROUND([3]EV.ACCIONES.aux!$M37/1000000*$S$187/$S$188,0)</f>
        <v>36</v>
      </c>
    </row>
    <row r="45" spans="1:22" s="11" customFormat="1" ht="27" customHeight="1" x14ac:dyDescent="0.25">
      <c r="A45" s="62"/>
      <c r="B45" s="52" t="str">
        <f>[2]SI!A29</f>
        <v>SI-PY.3.4 Fortalecimiento de los Centros  e Institutos de Investigación</v>
      </c>
      <c r="C45" s="52"/>
      <c r="D45" s="6" t="str">
        <f>[2]SI!D30</f>
        <v># Instituto de Investigación</v>
      </c>
      <c r="E45" s="6">
        <f>+[1]SI!B30</f>
        <v>0</v>
      </c>
      <c r="F45" s="6">
        <f>+[1]SI!C30</f>
        <v>1</v>
      </c>
      <c r="G45" s="5">
        <f t="shared" si="57"/>
        <v>1</v>
      </c>
      <c r="H45" s="6">
        <v>1</v>
      </c>
      <c r="I45" s="22">
        <f>+'[1]METAS SI'!G16+'[1]METAS SI'!I16</f>
        <v>0.2</v>
      </c>
      <c r="J45" s="7">
        <f t="shared" si="58"/>
        <v>0.2</v>
      </c>
      <c r="K45" s="8" t="str">
        <f t="shared" si="0"/>
        <v>MUY BAJO</v>
      </c>
      <c r="L45" s="7">
        <f t="shared" si="59"/>
        <v>0</v>
      </c>
      <c r="M45" s="8" t="str">
        <f t="shared" si="1"/>
        <v>MUY BAJO</v>
      </c>
      <c r="N45" s="7">
        <f t="shared" si="60"/>
        <v>0</v>
      </c>
      <c r="O45" s="8" t="str">
        <f t="shared" si="2"/>
        <v>MUY BAJO</v>
      </c>
      <c r="P45" s="9">
        <f t="shared" si="61"/>
        <v>0</v>
      </c>
      <c r="Q45" s="9">
        <f>([1]SI!F30+[1]SI!H30)/1000000</f>
        <v>1000</v>
      </c>
      <c r="R45" s="9">
        <f t="shared" si="62"/>
        <v>1000</v>
      </c>
      <c r="S45" s="9"/>
      <c r="T45" s="9"/>
      <c r="U45" s="10"/>
      <c r="V45" s="10"/>
    </row>
    <row r="46" spans="1:22" s="11" customFormat="1" ht="27" customHeight="1" x14ac:dyDescent="0.25">
      <c r="A46" s="62"/>
      <c r="B46" s="52" t="str">
        <f>[2]SI!A31</f>
        <v>SI-PY.3.5 Fortalecimiento de los Grupos e Investigadores</v>
      </c>
      <c r="C46" s="52"/>
      <c r="D46" s="6" t="str">
        <f>[2]SI!D31</f>
        <v># Grupos categorizados</v>
      </c>
      <c r="E46" s="6">
        <f>+[1]SI!B31</f>
        <v>45</v>
      </c>
      <c r="F46" s="6">
        <f>+[1]SI!C31</f>
        <v>51</v>
      </c>
      <c r="G46" s="6">
        <f>+[1]SI!G31</f>
        <v>48</v>
      </c>
      <c r="H46" s="6">
        <v>48</v>
      </c>
      <c r="I46" s="22">
        <f>+'[1]METAS SI'!I17</f>
        <v>46</v>
      </c>
      <c r="J46" s="7">
        <f t="shared" si="58"/>
        <v>0.95833333333333337</v>
      </c>
      <c r="K46" s="8" t="str">
        <f t="shared" si="0"/>
        <v>MUY ALTO</v>
      </c>
      <c r="L46" s="7">
        <f t="shared" si="59"/>
        <v>0.46815550041356491</v>
      </c>
      <c r="M46" s="8" t="str">
        <f t="shared" si="1"/>
        <v>MEDIO</v>
      </c>
      <c r="N46" s="7">
        <f t="shared" si="60"/>
        <v>0.44864902122966638</v>
      </c>
      <c r="O46" s="8" t="str">
        <f t="shared" si="2"/>
        <v>MEDIO</v>
      </c>
      <c r="P46" s="9">
        <f t="shared" si="61"/>
        <v>283</v>
      </c>
      <c r="Q46" s="9">
        <f>([1]SI!F31+[1]SI!H31)/1000000</f>
        <v>604.5</v>
      </c>
      <c r="R46" s="9">
        <f t="shared" si="62"/>
        <v>321.5</v>
      </c>
      <c r="S46" s="9">
        <f>ROUND([1]EV.ACCIONES.aux!M38/1000000*$S$187/$S$188,0)-V46</f>
        <v>78</v>
      </c>
      <c r="T46" s="9">
        <f t="shared" si="63"/>
        <v>205</v>
      </c>
      <c r="U46" s="10">
        <f>ROUND([2]EV_ACCIONES!$I38/1000000*$S$187/$S$188,0)</f>
        <v>167</v>
      </c>
      <c r="V46" s="10">
        <f>ROUND([3]EV.ACCIONES.aux!$M38/1000000*$S$187/$S$188,0)</f>
        <v>38</v>
      </c>
    </row>
    <row r="47" spans="1:22" s="11" customFormat="1" ht="27" customHeight="1" x14ac:dyDescent="0.25">
      <c r="A47" s="62"/>
      <c r="B47" s="52" t="str">
        <f>[2]SI!A31</f>
        <v>SI-PY.3.5 Fortalecimiento de los Grupos e Investigadores</v>
      </c>
      <c r="C47" s="52"/>
      <c r="D47" s="6" t="str">
        <f>[2]SI!D32</f>
        <v># Docentes categorizados</v>
      </c>
      <c r="E47" s="6">
        <f>+[1]SI!B32</f>
        <v>75</v>
      </c>
      <c r="F47" s="6">
        <f>+[1]SI!C32</f>
        <v>95</v>
      </c>
      <c r="G47" s="5">
        <f>+[1]SI!G32</f>
        <v>85</v>
      </c>
      <c r="H47" s="6">
        <v>85</v>
      </c>
      <c r="I47" s="22">
        <f>+'[1]METAS SI'!I18</f>
        <v>76</v>
      </c>
      <c r="J47" s="7">
        <f t="shared" si="58"/>
        <v>0.89411764705882357</v>
      </c>
      <c r="K47" s="8" t="str">
        <f t="shared" si="0"/>
        <v>MUY ALTO</v>
      </c>
      <c r="L47" s="7">
        <f t="shared" si="59"/>
        <v>0</v>
      </c>
      <c r="M47" s="8" t="str">
        <f t="shared" si="1"/>
        <v>MUY BAJO</v>
      </c>
      <c r="N47" s="7">
        <f t="shared" si="60"/>
        <v>0</v>
      </c>
      <c r="O47" s="8" t="str">
        <f t="shared" si="2"/>
        <v>MUY BAJO</v>
      </c>
      <c r="P47" s="9">
        <f t="shared" si="61"/>
        <v>0</v>
      </c>
      <c r="Q47" s="9">
        <f>([1]SI!F32+[1]SI!H32)/1000000</f>
        <v>128</v>
      </c>
      <c r="R47" s="9">
        <f t="shared" si="62"/>
        <v>128</v>
      </c>
      <c r="S47" s="9"/>
      <c r="T47" s="9"/>
      <c r="U47" s="10"/>
      <c r="V47" s="10"/>
    </row>
    <row r="48" spans="1:22" s="11" customFormat="1" ht="27" customHeight="1" x14ac:dyDescent="0.25">
      <c r="A48" s="62"/>
      <c r="B48" s="52" t="str">
        <f>[2]SI!A33</f>
        <v>SI-PY.3.6 Vigilancia Tecnológica</v>
      </c>
      <c r="C48" s="52"/>
      <c r="D48" s="6" t="str">
        <f>[2]SI!D33</f>
        <v>No. de procesos vigilados</v>
      </c>
      <c r="E48" s="6">
        <f>+[1]SI!B33</f>
        <v>7</v>
      </c>
      <c r="F48" s="6">
        <f>+[1]SI!C33</f>
        <v>8</v>
      </c>
      <c r="G48" s="5">
        <f>+[1]SI!G33</f>
        <v>8</v>
      </c>
      <c r="H48" s="6">
        <v>8</v>
      </c>
      <c r="I48" s="22">
        <f>+'[1]METAS SI'!I19</f>
        <v>8</v>
      </c>
      <c r="J48" s="7">
        <f t="shared" si="58"/>
        <v>1</v>
      </c>
      <c r="K48" s="8" t="str">
        <f t="shared" si="0"/>
        <v>MUY ALTO</v>
      </c>
      <c r="L48" s="7">
        <f t="shared" si="59"/>
        <v>1.4583333333333333</v>
      </c>
      <c r="M48" s="8" t="str">
        <f t="shared" si="1"/>
        <v>MUY ALTO</v>
      </c>
      <c r="N48" s="7">
        <f t="shared" si="60"/>
        <v>1.4583333333333333</v>
      </c>
      <c r="O48" s="8" t="str">
        <f t="shared" si="2"/>
        <v>MUY ALTO</v>
      </c>
      <c r="P48" s="9">
        <f t="shared" si="61"/>
        <v>105</v>
      </c>
      <c r="Q48" s="9">
        <f>([1]SI!F33+[1]SI!H33)/1000000</f>
        <v>72</v>
      </c>
      <c r="R48" s="9">
        <f t="shared" si="62"/>
        <v>-33</v>
      </c>
      <c r="S48" s="9">
        <f>ROUND([1]EV.ACCIONES.aux!M39/1000000*$S$187/$S$188,0)-V48</f>
        <v>29</v>
      </c>
      <c r="T48" s="9">
        <f t="shared" ref="T48:T53" si="64">+U48+V48</f>
        <v>76</v>
      </c>
      <c r="U48" s="10">
        <f>ROUND([2]EV_ACCIONES!$I39/1000000*$S$187/$S$188,0)</f>
        <v>48</v>
      </c>
      <c r="V48" s="10">
        <f>ROUND([3]EV.ACCIONES.aux!$M39/1000000*$S$187/$S$188,0)</f>
        <v>28</v>
      </c>
    </row>
    <row r="49" spans="1:22" s="11" customFormat="1" ht="27" customHeight="1" x14ac:dyDescent="0.25">
      <c r="A49" s="62"/>
      <c r="B49" s="52" t="str">
        <f>[2]SI!A34</f>
        <v>SI-PY.3.7 Artículos en Revistas Indexadas</v>
      </c>
      <c r="C49" s="52"/>
      <c r="D49" s="6" t="str">
        <f>[2]SI!D34</f>
        <v># Artículos</v>
      </c>
      <c r="E49" s="6">
        <f>+[1]SI!B34</f>
        <v>23</v>
      </c>
      <c r="F49" s="6">
        <f>+[1]SI!C34</f>
        <v>439</v>
      </c>
      <c r="G49" s="6">
        <f>+F49</f>
        <v>439</v>
      </c>
      <c r="H49" s="6">
        <v>166</v>
      </c>
      <c r="I49" s="22">
        <f>+'[1]METAS SI'!G20+'[1]METAS SI'!I20</f>
        <v>61</v>
      </c>
      <c r="J49" s="7">
        <f t="shared" si="58"/>
        <v>0.36746987951807231</v>
      </c>
      <c r="K49" s="8" t="str">
        <f t="shared" si="0"/>
        <v>BAJO</v>
      </c>
      <c r="L49" s="7">
        <f t="shared" si="59"/>
        <v>0.20609703735508803</v>
      </c>
      <c r="M49" s="8" t="str">
        <f t="shared" si="1"/>
        <v>BAJO</v>
      </c>
      <c r="N49" s="7">
        <f t="shared" si="60"/>
        <v>7.573445348590585E-2</v>
      </c>
      <c r="O49" s="8" t="str">
        <f t="shared" si="2"/>
        <v>MUY BAJO</v>
      </c>
      <c r="P49" s="9">
        <f t="shared" si="61"/>
        <v>48</v>
      </c>
      <c r="Q49" s="9">
        <f>([1]SI!F34+[1]SI!H34)/1000000</f>
        <v>232.9</v>
      </c>
      <c r="R49" s="9">
        <f t="shared" si="62"/>
        <v>184.9</v>
      </c>
      <c r="S49" s="9">
        <f>ROUND([1]EV.ACCIONES.aux!M40/1000000*$S$187/$S$188,0)-V49</f>
        <v>12</v>
      </c>
      <c r="T49" s="9">
        <f t="shared" si="64"/>
        <v>36</v>
      </c>
      <c r="U49" s="10">
        <f>ROUND([2]EV_ACCIONES!$I40/1000000*$S$187/$S$188,0)</f>
        <v>19</v>
      </c>
      <c r="V49" s="10">
        <f>ROUND([3]EV.ACCIONES.aux!$M40/1000000*$S$187/$S$188,0)</f>
        <v>17</v>
      </c>
    </row>
    <row r="50" spans="1:22" s="11" customFormat="1" ht="46.15" customHeight="1" x14ac:dyDescent="0.25">
      <c r="A50" s="62"/>
      <c r="B50" s="52" t="str">
        <f>[2]SI!A35</f>
        <v>SI-PY.3.8 Consolidación e Implementación del Plan Estratégico de Ciencia, Tecnología e Innovación -PECTI</v>
      </c>
      <c r="C50" s="52"/>
      <c r="D50" s="6" t="str">
        <f>[2]SI!D35</f>
        <v>Documento Aprobado por Consejo Superior</v>
      </c>
      <c r="E50" s="6">
        <f>+[1]SI!B35</f>
        <v>0.4</v>
      </c>
      <c r="F50" s="6">
        <f>+[1]SI!C35</f>
        <v>1</v>
      </c>
      <c r="G50" s="6">
        <v>1</v>
      </c>
      <c r="H50" s="6">
        <v>1</v>
      </c>
      <c r="I50" s="32">
        <f>+'[1]METAS SI'!G21+'[1]METAS SI'!I21</f>
        <v>0.55000000000000004</v>
      </c>
      <c r="J50" s="7">
        <f t="shared" si="58"/>
        <v>0.55000000000000004</v>
      </c>
      <c r="K50" s="8" t="str">
        <f t="shared" si="0"/>
        <v>MEDIO</v>
      </c>
      <c r="L50" s="7">
        <f t="shared" si="59"/>
        <v>0.69354838709677424</v>
      </c>
      <c r="M50" s="8" t="str">
        <f t="shared" si="1"/>
        <v>ALTO</v>
      </c>
      <c r="N50" s="7">
        <f t="shared" si="60"/>
        <v>0.38145161290322588</v>
      </c>
      <c r="O50" s="8" t="str">
        <f t="shared" si="2"/>
        <v>BAJO</v>
      </c>
      <c r="P50" s="9">
        <f t="shared" si="61"/>
        <v>43</v>
      </c>
      <c r="Q50" s="9">
        <f>([1]SI!F35+[1]SI!H35)/1000000</f>
        <v>62</v>
      </c>
      <c r="R50" s="9">
        <f t="shared" si="62"/>
        <v>19</v>
      </c>
      <c r="S50" s="9">
        <f>ROUND([1]EV.ACCIONES.aux!M41/1000000*$S$187/$S$188,0)-V50</f>
        <v>0</v>
      </c>
      <c r="T50" s="9">
        <f t="shared" si="64"/>
        <v>43</v>
      </c>
      <c r="U50" s="10">
        <f>ROUND([2]EV_ACCIONES!$I41/1000000*$S$187/$S$188,0)</f>
        <v>34</v>
      </c>
      <c r="V50" s="10">
        <f>ROUND([3]EV.ACCIONES.aux!$M41/1000000*$S$187/$S$188,0)</f>
        <v>9</v>
      </c>
    </row>
    <row r="51" spans="1:22" s="11" customFormat="1" ht="42" customHeight="1" x14ac:dyDescent="0.25">
      <c r="A51" s="62"/>
      <c r="B51" s="52" t="str">
        <f>[2]SI!A35</f>
        <v>SI-PY.3.8 Consolidación e Implementación del Plan Estratégico de Ciencia, Tecnología e Innovación -PECTI</v>
      </c>
      <c r="C51" s="52"/>
      <c r="D51" s="6" t="str">
        <f>[2]SI!D36</f>
        <v># de Estrategias implementadas</v>
      </c>
      <c r="E51" s="6">
        <f>+[1]SI!B36</f>
        <v>0</v>
      </c>
      <c r="F51" s="6">
        <f>+[1]SI!C36</f>
        <v>5</v>
      </c>
      <c r="G51" s="5">
        <f t="shared" si="57"/>
        <v>5</v>
      </c>
      <c r="H51" s="6">
        <v>5</v>
      </c>
      <c r="I51" s="22">
        <f>+'[1]METAS SI'!G22+'[1]METAS SI'!I22</f>
        <v>0</v>
      </c>
      <c r="J51" s="7">
        <f t="shared" si="58"/>
        <v>0</v>
      </c>
      <c r="K51" s="8" t="str">
        <f t="shared" si="0"/>
        <v>MUY BAJO</v>
      </c>
      <c r="L51" s="7">
        <f t="shared" si="59"/>
        <v>0</v>
      </c>
      <c r="M51" s="8" t="str">
        <f t="shared" si="1"/>
        <v>MUY BAJO</v>
      </c>
      <c r="N51" s="7">
        <f t="shared" si="60"/>
        <v>0</v>
      </c>
      <c r="O51" s="8" t="str">
        <f t="shared" si="2"/>
        <v>MUY BAJO</v>
      </c>
      <c r="P51" s="9">
        <f t="shared" si="61"/>
        <v>0</v>
      </c>
      <c r="Q51" s="9">
        <f>([1]SI!F36+[1]SI!H36)/1000000</f>
        <v>62</v>
      </c>
      <c r="R51" s="9">
        <f t="shared" si="62"/>
        <v>62</v>
      </c>
      <c r="S51" s="9"/>
      <c r="T51" s="9"/>
      <c r="U51" s="10"/>
      <c r="V51" s="10"/>
    </row>
    <row r="52" spans="1:22" s="11" customFormat="1" ht="31.9" customHeight="1" x14ac:dyDescent="0.25">
      <c r="A52" s="62"/>
      <c r="B52" s="52" t="str">
        <f>[2]SI!A37</f>
        <v>SI-PY.3.9 Apoyo laboratorios de investigación</v>
      </c>
      <c r="C52" s="52"/>
      <c r="D52" s="6" t="str">
        <f>[2]SI!D37</f>
        <v># Laboratorios apoyados</v>
      </c>
      <c r="E52" s="6">
        <f>+[1]SI!B37</f>
        <v>9</v>
      </c>
      <c r="F52" s="6">
        <f>+[1]SI!C37</f>
        <v>9</v>
      </c>
      <c r="G52" s="6">
        <f>+F52</f>
        <v>9</v>
      </c>
      <c r="H52" s="6">
        <v>9</v>
      </c>
      <c r="I52" s="22">
        <f>+'[1]METAS SI'!I23</f>
        <v>9</v>
      </c>
      <c r="J52" s="7">
        <f t="shared" si="58"/>
        <v>1</v>
      </c>
      <c r="K52" s="8" t="str">
        <f t="shared" si="0"/>
        <v>MUY ALTO</v>
      </c>
      <c r="L52" s="7">
        <f t="shared" si="59"/>
        <v>0.60030864197530864</v>
      </c>
      <c r="M52" s="8" t="str">
        <f t="shared" si="1"/>
        <v>ALTO</v>
      </c>
      <c r="N52" s="7">
        <f t="shared" si="60"/>
        <v>0.60030864197530864</v>
      </c>
      <c r="O52" s="8" t="str">
        <f t="shared" si="2"/>
        <v>ALTO</v>
      </c>
      <c r="P52" s="9">
        <f t="shared" si="61"/>
        <v>389</v>
      </c>
      <c r="Q52" s="9">
        <f>([1]SI!F37+[1]SI!H37)/1000000</f>
        <v>648</v>
      </c>
      <c r="R52" s="9">
        <f t="shared" si="62"/>
        <v>259</v>
      </c>
      <c r="S52" s="9">
        <f>ROUND([1]EV.ACCIONES.aux!M42/1000000*$S$187/$S$188,0)-V52</f>
        <v>126</v>
      </c>
      <c r="T52" s="9">
        <f t="shared" si="64"/>
        <v>263</v>
      </c>
      <c r="U52" s="10">
        <f>ROUND([2]EV_ACCIONES!$I42/1000000*$S$187/$S$188,0)</f>
        <v>145</v>
      </c>
      <c r="V52" s="10">
        <f>ROUND([3]EV.ACCIONES.aux!$M42/1000000*$S$187/$S$188,0)</f>
        <v>118</v>
      </c>
    </row>
    <row r="53" spans="1:22" s="11" customFormat="1" ht="32.450000000000003" customHeight="1" x14ac:dyDescent="0.25">
      <c r="A53" s="62"/>
      <c r="B53" s="52" t="str">
        <f>[2]SI!A38</f>
        <v>SI-PY.3.10 Apoyo al desarrollo de doctorados</v>
      </c>
      <c r="C53" s="52"/>
      <c r="D53" s="6" t="str">
        <f>[2]SI!D38</f>
        <v># Programas de Doctorado</v>
      </c>
      <c r="E53" s="6">
        <f>+[1]SI!B38</f>
        <v>3</v>
      </c>
      <c r="F53" s="6">
        <f>+[1]SI!C38</f>
        <v>5</v>
      </c>
      <c r="G53" s="5">
        <f>+[1]SI!G38</f>
        <v>5</v>
      </c>
      <c r="H53" s="6">
        <v>5</v>
      </c>
      <c r="I53" s="22">
        <f>+'[1]METAS SI'!I24</f>
        <v>3</v>
      </c>
      <c r="J53" s="7">
        <f t="shared" si="58"/>
        <v>0.6</v>
      </c>
      <c r="K53" s="8" t="str">
        <f t="shared" si="0"/>
        <v>MEDIO</v>
      </c>
      <c r="L53" s="7">
        <f t="shared" si="59"/>
        <v>0.33714285714285713</v>
      </c>
      <c r="M53" s="8" t="str">
        <f t="shared" si="1"/>
        <v>BAJO</v>
      </c>
      <c r="N53" s="7">
        <f t="shared" si="60"/>
        <v>0.20228571428571426</v>
      </c>
      <c r="O53" s="8" t="str">
        <f t="shared" si="2"/>
        <v>BAJO</v>
      </c>
      <c r="P53" s="9">
        <f t="shared" si="61"/>
        <v>472</v>
      </c>
      <c r="Q53" s="9">
        <f>([1]SI!F38+[1]SI!H38)/1000000</f>
        <v>1400</v>
      </c>
      <c r="R53" s="9">
        <f t="shared" si="62"/>
        <v>928</v>
      </c>
      <c r="S53" s="9">
        <f>ROUND([1]EV.ACCIONES.aux!M43/1000000*$S$187/$S$188,0)-V53</f>
        <v>36</v>
      </c>
      <c r="T53" s="9">
        <f t="shared" si="64"/>
        <v>436</v>
      </c>
      <c r="U53" s="10">
        <f>ROUND([2]EV_ACCIONES!$I43/1000000*$S$187/$S$188,0)</f>
        <v>310</v>
      </c>
      <c r="V53" s="10">
        <f>ROUND([3]EV.ACCIONES.aux!$M43/1000000*$S$187/$S$188,0)</f>
        <v>126</v>
      </c>
    </row>
    <row r="54" spans="1:22" ht="27" customHeight="1" thickBot="1" x14ac:dyDescent="0.3">
      <c r="A54" s="62"/>
      <c r="B54" s="53" t="s">
        <v>26</v>
      </c>
      <c r="C54" s="53"/>
      <c r="D54" s="23"/>
      <c r="E54" s="23"/>
      <c r="F54" s="23"/>
      <c r="G54" s="23"/>
      <c r="H54" s="23"/>
      <c r="I54" s="23"/>
      <c r="J54" s="24">
        <f>AVERAGE(J41:J53)</f>
        <v>0.54829672060359513</v>
      </c>
      <c r="K54" s="8" t="str">
        <f t="shared" si="0"/>
        <v>MEDIO</v>
      </c>
      <c r="L54" s="24">
        <f>AVERAGE(L41:L53)</f>
        <v>0.45605604726613713</v>
      </c>
      <c r="M54" s="8" t="str">
        <f t="shared" si="1"/>
        <v>MEDIO</v>
      </c>
      <c r="N54" s="24">
        <f>AVERAGE(N41:N53)</f>
        <v>0.33565103519117401</v>
      </c>
      <c r="O54" s="8" t="str">
        <f t="shared" si="2"/>
        <v>BAJO</v>
      </c>
      <c r="P54" s="14">
        <f>SUM(P41:P53)</f>
        <v>1766</v>
      </c>
      <c r="Q54" s="14">
        <f t="shared" ref="Q54:T54" si="65">SUM(Q41:Q53)</f>
        <v>5552.4</v>
      </c>
      <c r="R54" s="14">
        <f t="shared" si="65"/>
        <v>3786.4</v>
      </c>
      <c r="S54" s="14">
        <f t="shared" si="65"/>
        <v>376</v>
      </c>
      <c r="T54" s="14">
        <f t="shared" si="65"/>
        <v>1390</v>
      </c>
    </row>
    <row r="55" spans="1:22" s="11" customFormat="1" ht="27" customHeight="1" x14ac:dyDescent="0.25">
      <c r="A55" s="62"/>
      <c r="B55" s="52" t="str">
        <f>[2]SI!A44</f>
        <v>SI-PY.4.1 Registro</v>
      </c>
      <c r="C55" s="52"/>
      <c r="D55" s="6" t="str">
        <f>[2]SI!D44</f>
        <v># Registros</v>
      </c>
      <c r="E55" s="6">
        <f>+[1]SI!B44</f>
        <v>9</v>
      </c>
      <c r="F55" s="6">
        <f>+[1]SI!C44</f>
        <v>24</v>
      </c>
      <c r="G55" s="6">
        <f>+F55</f>
        <v>24</v>
      </c>
      <c r="H55" s="6">
        <v>15</v>
      </c>
      <c r="I55" s="33">
        <f>+'[1]METAS SI'!G25+'[1]METAS SI'!I25+E55</f>
        <v>11</v>
      </c>
      <c r="J55" s="7">
        <f t="shared" ref="J55:J56" si="66">+I55/H55</f>
        <v>0.73333333333333328</v>
      </c>
      <c r="K55" s="8" t="str">
        <f t="shared" si="0"/>
        <v>ALTO</v>
      </c>
      <c r="L55" s="7">
        <f t="shared" ref="L55:L56" si="67">+P55/Q55</f>
        <v>0.5089285714285714</v>
      </c>
      <c r="M55" s="8" t="str">
        <f t="shared" si="1"/>
        <v>MEDIO</v>
      </c>
      <c r="N55" s="7">
        <f t="shared" ref="N55:N56" si="68">+J55*L55</f>
        <v>0.37321428571428567</v>
      </c>
      <c r="O55" s="8" t="str">
        <f t="shared" si="2"/>
        <v>BAJO</v>
      </c>
      <c r="P55" s="9">
        <f t="shared" ref="P55:P58" si="69">+S55+T55</f>
        <v>57</v>
      </c>
      <c r="Q55" s="9">
        <f>([1]SI!F44+[1]SI!H44)/1000000</f>
        <v>112</v>
      </c>
      <c r="R55" s="9">
        <f t="shared" ref="R55:R58" si="70">+Q55-P55</f>
        <v>55</v>
      </c>
      <c r="S55" s="9">
        <f>ROUND([1]EV.ACCIONES.aux!M44/1000000*$S$187/$S$188,0)-V55</f>
        <v>25</v>
      </c>
      <c r="T55" s="9">
        <f t="shared" ref="T55:T56" si="71">+U55+V55</f>
        <v>32</v>
      </c>
      <c r="U55" s="10">
        <f>ROUND([2]EV_ACCIONES!$I44/1000000*$S$187/$S$188,0)</f>
        <v>32</v>
      </c>
      <c r="V55" s="10">
        <f>ROUND([3]EV.ACCIONES.aux!$M44/1000000*$S$187/$S$188,0)</f>
        <v>0</v>
      </c>
    </row>
    <row r="56" spans="1:22" s="11" customFormat="1" ht="27" customHeight="1" x14ac:dyDescent="0.25">
      <c r="A56" s="62"/>
      <c r="B56" s="52" t="str">
        <f>[2]SI!A45</f>
        <v>SI-PY.4.2 Validación</v>
      </c>
      <c r="C56" s="52"/>
      <c r="D56" s="6" t="str">
        <f>[2]SI!D45</f>
        <v># Validaciones</v>
      </c>
      <c r="E56" s="6">
        <f>+[1]SI!B45</f>
        <v>3</v>
      </c>
      <c r="F56" s="6">
        <f>+[1]SI!C45</f>
        <v>8</v>
      </c>
      <c r="G56" s="6">
        <f>+F56-E56</f>
        <v>5</v>
      </c>
      <c r="H56" s="6">
        <v>2</v>
      </c>
      <c r="I56" s="22">
        <f>+'[1]METAS SI'!G26+'[1]METAS SI'!I26</f>
        <v>2</v>
      </c>
      <c r="J56" s="7">
        <f t="shared" si="66"/>
        <v>1</v>
      </c>
      <c r="K56" s="8" t="str">
        <f t="shared" si="0"/>
        <v>MUY ALTO</v>
      </c>
      <c r="L56" s="7">
        <f t="shared" si="67"/>
        <v>0.12</v>
      </c>
      <c r="M56" s="8" t="str">
        <f t="shared" si="1"/>
        <v>MUY BAJO</v>
      </c>
      <c r="N56" s="7">
        <f t="shared" si="68"/>
        <v>0.12</v>
      </c>
      <c r="O56" s="8" t="str">
        <f t="shared" si="2"/>
        <v>MUY BAJO</v>
      </c>
      <c r="P56" s="9">
        <f t="shared" si="69"/>
        <v>12</v>
      </c>
      <c r="Q56" s="9">
        <f>([1]SI!F45+[1]SI!H45)/1000000</f>
        <v>100</v>
      </c>
      <c r="R56" s="9">
        <f t="shared" si="70"/>
        <v>88</v>
      </c>
      <c r="S56" s="9">
        <f>ROUND([1]EV.ACCIONES.aux!M45/1000000*$S$187/$S$188,0)-V56</f>
        <v>0</v>
      </c>
      <c r="T56" s="9">
        <f t="shared" si="71"/>
        <v>12</v>
      </c>
      <c r="U56" s="10">
        <f>ROUND([2]EV_ACCIONES!$I45/1000000*$S$187/$S$188,0)</f>
        <v>12</v>
      </c>
      <c r="V56" s="10">
        <f>ROUND([3]EV.ACCIONES.aux!$M45/1000000*$S$187/$S$188,0)</f>
        <v>0</v>
      </c>
    </row>
    <row r="57" spans="1:22" ht="27" customHeight="1" thickBot="1" x14ac:dyDescent="0.3">
      <c r="A57" s="62"/>
      <c r="B57" s="53" t="s">
        <v>27</v>
      </c>
      <c r="C57" s="53"/>
      <c r="D57" s="23"/>
      <c r="E57" s="23"/>
      <c r="F57" s="23"/>
      <c r="G57" s="23"/>
      <c r="H57" s="23"/>
      <c r="I57" s="23"/>
      <c r="J57" s="24">
        <f>AVERAGE(J55:J56)</f>
        <v>0.8666666666666667</v>
      </c>
      <c r="K57" s="8" t="str">
        <f t="shared" si="0"/>
        <v>MUY ALTO</v>
      </c>
      <c r="L57" s="24">
        <f>AVERAGE(L55:L56)</f>
        <v>0.3144642857142857</v>
      </c>
      <c r="M57" s="8" t="str">
        <f t="shared" si="1"/>
        <v>BAJO</v>
      </c>
      <c r="N57" s="24">
        <f>AVERAGE(N55:N56)</f>
        <v>0.24660714285714283</v>
      </c>
      <c r="O57" s="8" t="str">
        <f t="shared" si="2"/>
        <v>BAJO</v>
      </c>
      <c r="P57" s="14">
        <f t="shared" si="69"/>
        <v>71</v>
      </c>
      <c r="Q57" s="14">
        <f>+'[4]T-4 2020'!$M14+ROUND([1]EV.PROYECTOS!E14/1000000,0)</f>
        <v>212</v>
      </c>
      <c r="R57" s="14">
        <f t="shared" si="70"/>
        <v>141</v>
      </c>
      <c r="S57" s="14">
        <f>ROUND(SUM([1]EV.PROYECTOS!H14)/1000000*($S$187/$S$188),0)-'[5]T1-2021'!$O14</f>
        <v>25</v>
      </c>
      <c r="T57" s="14">
        <f>+'[5]T1-2021'!$L14</f>
        <v>46</v>
      </c>
    </row>
    <row r="58" spans="1:22" s="11" customFormat="1" ht="31.15" customHeight="1" x14ac:dyDescent="0.25">
      <c r="A58" s="62"/>
      <c r="B58" s="52" t="str">
        <f>[2]SI!A51</f>
        <v>SI-PY.5.1 Desarrollo de proyectos</v>
      </c>
      <c r="C58" s="52"/>
      <c r="D58" s="6" t="str">
        <f>[2]SI!D51</f>
        <v xml:space="preserve"># Proyectos con cofinanciación </v>
      </c>
      <c r="E58" s="6">
        <f>+[1]SI!B51</f>
        <v>29</v>
      </c>
      <c r="F58" s="6">
        <f>+[1]SI!C51</f>
        <v>104</v>
      </c>
      <c r="G58" s="5">
        <f t="shared" ref="G58" si="72">+F58-E58</f>
        <v>75</v>
      </c>
      <c r="H58" s="6">
        <v>30</v>
      </c>
      <c r="I58" s="22">
        <f>+'[1]METAS SI'!G27+'[1]METAS SI'!I27</f>
        <v>30</v>
      </c>
      <c r="J58" s="7">
        <f>+I58/H58</f>
        <v>1</v>
      </c>
      <c r="K58" s="8" t="str">
        <f t="shared" si="0"/>
        <v>MUY ALTO</v>
      </c>
      <c r="L58" s="7">
        <f>+P58/Q58</f>
        <v>0.9081818181818182</v>
      </c>
      <c r="M58" s="8" t="str">
        <f t="shared" si="1"/>
        <v>MUY ALTO</v>
      </c>
      <c r="N58" s="7">
        <f>+J58*L58</f>
        <v>0.9081818181818182</v>
      </c>
      <c r="O58" s="8" t="str">
        <f t="shared" si="2"/>
        <v>MUY ALTO</v>
      </c>
      <c r="P58" s="9">
        <f t="shared" si="69"/>
        <v>3996</v>
      </c>
      <c r="Q58" s="9">
        <f>([1]SI!F51+[1]SI!H51)/1000000</f>
        <v>4400</v>
      </c>
      <c r="R58" s="9">
        <f t="shared" si="70"/>
        <v>404</v>
      </c>
      <c r="S58" s="9">
        <f>ROUND([1]EV.ACCIONES.aux!M46/1000000*$S$187/$S$188,0)-V58</f>
        <v>123</v>
      </c>
      <c r="T58" s="9">
        <f t="shared" ref="T58" si="73">+U58+V58</f>
        <v>3873</v>
      </c>
      <c r="U58" s="10">
        <f>ROUND([2]EV_ACCIONES!$I46/1000000*$S$187/$S$188,0)</f>
        <v>2704</v>
      </c>
      <c r="V58" s="10">
        <f>ROUND([3]EV.ACCIONES.aux!$M46/1000000*$S$187/$S$188,0)</f>
        <v>1169</v>
      </c>
    </row>
    <row r="59" spans="1:22" ht="27" customHeight="1" thickBot="1" x14ac:dyDescent="0.3">
      <c r="A59" s="62"/>
      <c r="B59" s="53" t="s">
        <v>28</v>
      </c>
      <c r="C59" s="53"/>
      <c r="D59" s="23"/>
      <c r="E59" s="23"/>
      <c r="F59" s="23"/>
      <c r="G59" s="23"/>
      <c r="H59" s="23"/>
      <c r="I59" s="23"/>
      <c r="J59" s="24">
        <f>AVERAGE(J58)</f>
        <v>1</v>
      </c>
      <c r="K59" s="8" t="str">
        <f t="shared" si="0"/>
        <v>MUY ALTO</v>
      </c>
      <c r="L59" s="24">
        <f>AVERAGE(L58)</f>
        <v>0.9081818181818182</v>
      </c>
      <c r="M59" s="8" t="str">
        <f t="shared" si="1"/>
        <v>MUY ALTO</v>
      </c>
      <c r="N59" s="24">
        <f>AVERAGE(N58)</f>
        <v>0.9081818181818182</v>
      </c>
      <c r="O59" s="8" t="str">
        <f t="shared" si="2"/>
        <v>MUY ALTO</v>
      </c>
      <c r="P59" s="14">
        <f>SUM(P58)</f>
        <v>3996</v>
      </c>
      <c r="Q59" s="14">
        <f t="shared" ref="Q59:T59" si="74">SUM(Q58)</f>
        <v>4400</v>
      </c>
      <c r="R59" s="14">
        <f t="shared" si="74"/>
        <v>404</v>
      </c>
      <c r="S59" s="14">
        <f t="shared" si="74"/>
        <v>123</v>
      </c>
      <c r="T59" s="14">
        <f t="shared" si="74"/>
        <v>3873</v>
      </c>
    </row>
    <row r="60" spans="1:22" s="11" customFormat="1" ht="27" customHeight="1" x14ac:dyDescent="0.25">
      <c r="A60" s="62"/>
      <c r="B60" s="52" t="str">
        <f>[2]SI!A57</f>
        <v xml:space="preserve">SI-PY.6.1 Procesos editoriales </v>
      </c>
      <c r="C60" s="52"/>
      <c r="D60" s="6" t="str">
        <f>[2]SI!D57</f>
        <v># Revistas</v>
      </c>
      <c r="E60" s="6">
        <f>+[1]SI!B57</f>
        <v>11</v>
      </c>
      <c r="F60" s="6">
        <f>+[1]SI!C57</f>
        <v>11</v>
      </c>
      <c r="G60" s="6">
        <f>+F60</f>
        <v>11</v>
      </c>
      <c r="H60" s="6">
        <v>11</v>
      </c>
      <c r="I60" s="22">
        <f>+'[1]METAS SI'!I28</f>
        <v>4</v>
      </c>
      <c r="J60" s="7">
        <f t="shared" ref="J60:J62" si="75">+I60/H60</f>
        <v>0.36363636363636365</v>
      </c>
      <c r="K60" s="8" t="str">
        <f t="shared" si="0"/>
        <v>BAJO</v>
      </c>
      <c r="L60" s="7">
        <f t="shared" ref="L60:L62" si="76">+P60/Q60</f>
        <v>0.49494949494949497</v>
      </c>
      <c r="M60" s="8" t="str">
        <f t="shared" si="1"/>
        <v>MEDIO</v>
      </c>
      <c r="N60" s="7">
        <f t="shared" ref="N60:N62" si="77">+J60*L60</f>
        <v>0.1799816345270891</v>
      </c>
      <c r="O60" s="8" t="str">
        <f t="shared" si="2"/>
        <v>MUY BAJO</v>
      </c>
      <c r="P60" s="9">
        <f t="shared" ref="P60:P62" si="78">+S60+T60</f>
        <v>196</v>
      </c>
      <c r="Q60" s="9">
        <f>([1]SI!F57+[1]SI!H57)/1000000</f>
        <v>396</v>
      </c>
      <c r="R60" s="9">
        <f t="shared" ref="R60:R62" si="79">+Q60-P60</f>
        <v>200</v>
      </c>
      <c r="S60" s="9">
        <f>ROUND([1]EV.ACCIONES.aux!M47/1000000*$S$187/$S$188,0)-V60</f>
        <v>60</v>
      </c>
      <c r="T60" s="9">
        <f t="shared" ref="T60:T62" si="80">+U60+V60</f>
        <v>136</v>
      </c>
      <c r="U60" s="10">
        <f>ROUND([2]EV_ACCIONES!$I47/1000000*$S$187/$S$188,0)</f>
        <v>106</v>
      </c>
      <c r="V60" s="10">
        <f>ROUND([3]EV.ACCIONES.aux!$M47/1000000*$S$187/$S$188,0)</f>
        <v>30</v>
      </c>
    </row>
    <row r="61" spans="1:22" s="11" customFormat="1" ht="27" customHeight="1" x14ac:dyDescent="0.25">
      <c r="A61" s="62"/>
      <c r="B61" s="52" t="str">
        <f>[2]SI!A58</f>
        <v>SI-PY.6.2 Revistas Científicas</v>
      </c>
      <c r="C61" s="52"/>
      <c r="D61" s="6" t="str">
        <f>[2]SI!D58</f>
        <v># Revistas indexadas</v>
      </c>
      <c r="E61" s="6">
        <f>+[1]SI!B58</f>
        <v>0</v>
      </c>
      <c r="F61" s="6">
        <f>+[1]SI!C58</f>
        <v>2</v>
      </c>
      <c r="G61" s="5">
        <f>+[1]SI!E58+[1]SI!G58</f>
        <v>1</v>
      </c>
      <c r="H61" s="6">
        <v>1</v>
      </c>
      <c r="I61" s="22">
        <f>+'[1]METAS SI'!I29</f>
        <v>0</v>
      </c>
      <c r="J61" s="7">
        <f t="shared" si="75"/>
        <v>0</v>
      </c>
      <c r="K61" s="8" t="str">
        <f t="shared" si="0"/>
        <v>MUY BAJO</v>
      </c>
      <c r="L61" s="7">
        <f t="shared" si="76"/>
        <v>0.83802497909104001</v>
      </c>
      <c r="M61" s="8" t="str">
        <f t="shared" si="1"/>
        <v>MUY ALTO</v>
      </c>
      <c r="N61" s="7">
        <f t="shared" si="77"/>
        <v>0</v>
      </c>
      <c r="O61" s="8" t="str">
        <f t="shared" si="2"/>
        <v>MUY BAJO</v>
      </c>
      <c r="P61" s="9">
        <f t="shared" si="78"/>
        <v>177</v>
      </c>
      <c r="Q61" s="9">
        <f>([1]SI!F58+[1]SI!H58)/1000000</f>
        <v>211.21088800000001</v>
      </c>
      <c r="R61" s="9">
        <f t="shared" si="79"/>
        <v>34.210888000000011</v>
      </c>
      <c r="S61" s="9">
        <f>ROUND([1]EV.ACCIONES.aux!M48/1000000*$S$187/$S$188,0)-V61</f>
        <v>7</v>
      </c>
      <c r="T61" s="9">
        <f t="shared" si="80"/>
        <v>170</v>
      </c>
      <c r="U61" s="10">
        <f>ROUND([2]EV_ACCIONES!$I48/1000000*$S$187/$S$188,0)</f>
        <v>124</v>
      </c>
      <c r="V61" s="10">
        <f>ROUND([3]EV.ACCIONES.aux!$M48/1000000*$S$187/$S$188,0)</f>
        <v>46</v>
      </c>
    </row>
    <row r="62" spans="1:22" s="11" customFormat="1" ht="38.450000000000003" customHeight="1" x14ac:dyDescent="0.25">
      <c r="A62" s="62"/>
      <c r="B62" s="52" t="str">
        <f>[2]SI!A59</f>
        <v>SI-PY.6.3 Publicación de libros desde la Editorial de la Universidad</v>
      </c>
      <c r="C62" s="52"/>
      <c r="D62" s="6" t="str">
        <f>[2]SI!D59</f>
        <v># Libros</v>
      </c>
      <c r="E62" s="6">
        <f>+[1]SI!B59</f>
        <v>54</v>
      </c>
      <c r="F62" s="6">
        <f>+[1]SI!C59</f>
        <v>127</v>
      </c>
      <c r="G62" s="5">
        <f>+[1]SI!B59+[1]SI!E59+[1]SI!G59</f>
        <v>79</v>
      </c>
      <c r="H62" s="6">
        <v>25</v>
      </c>
      <c r="I62" s="22">
        <f>+'[1]METAS SI'!G30+'[1]METAS SI'!I30</f>
        <v>12</v>
      </c>
      <c r="J62" s="7">
        <f t="shared" si="75"/>
        <v>0.48</v>
      </c>
      <c r="K62" s="8" t="str">
        <f t="shared" si="0"/>
        <v>MEDIO</v>
      </c>
      <c r="L62" s="7">
        <f t="shared" si="76"/>
        <v>0.42849564022689868</v>
      </c>
      <c r="M62" s="8" t="str">
        <f t="shared" si="1"/>
        <v>MEDIO</v>
      </c>
      <c r="N62" s="7">
        <f t="shared" si="77"/>
        <v>0.20567790730891136</v>
      </c>
      <c r="O62" s="8" t="str">
        <f t="shared" si="2"/>
        <v>BAJO</v>
      </c>
      <c r="P62" s="9">
        <f t="shared" si="78"/>
        <v>189</v>
      </c>
      <c r="Q62" s="9">
        <f>([1]SI!F59+[1]SI!H59)/1000000</f>
        <v>441.07799999999997</v>
      </c>
      <c r="R62" s="9">
        <f t="shared" si="79"/>
        <v>252.07799999999997</v>
      </c>
      <c r="S62" s="9">
        <f>ROUND([1]EV.ACCIONES.aux!M49/1000000*$S$187/$S$188,0)-V62</f>
        <v>22</v>
      </c>
      <c r="T62" s="9">
        <f t="shared" si="80"/>
        <v>167</v>
      </c>
      <c r="U62" s="10">
        <f>ROUND([2]EV_ACCIONES!$I49/1000000*$S$187/$S$188,0)</f>
        <v>125</v>
      </c>
      <c r="V62" s="10">
        <f>ROUND([3]EV.ACCIONES.aux!$M49/1000000*$S$187/$S$188,0)</f>
        <v>42</v>
      </c>
    </row>
    <row r="63" spans="1:22" ht="27" customHeight="1" thickBot="1" x14ac:dyDescent="0.3">
      <c r="A63" s="63"/>
      <c r="B63" s="53" t="s">
        <v>29</v>
      </c>
      <c r="C63" s="53"/>
      <c r="D63" s="23"/>
      <c r="E63" s="23"/>
      <c r="F63" s="23"/>
      <c r="G63" s="23"/>
      <c r="H63" s="23"/>
      <c r="I63" s="23"/>
      <c r="J63" s="24">
        <f>AVERAGE(J60:J62)</f>
        <v>0.28121212121212119</v>
      </c>
      <c r="K63" s="8" t="str">
        <f t="shared" si="0"/>
        <v>BAJO</v>
      </c>
      <c r="L63" s="24">
        <f>AVERAGE(L60:L62)</f>
        <v>0.58715670475581117</v>
      </c>
      <c r="M63" s="8" t="str">
        <f t="shared" si="1"/>
        <v>MEDIO</v>
      </c>
      <c r="N63" s="24">
        <f>AVERAGE(N60:N62)</f>
        <v>0.12855318061200016</v>
      </c>
      <c r="O63" s="8" t="str">
        <f t="shared" si="2"/>
        <v>MUY BAJO</v>
      </c>
      <c r="P63" s="14">
        <f>SUM(P60:P62)</f>
        <v>562</v>
      </c>
      <c r="Q63" s="14">
        <f t="shared" ref="Q63:T63" si="81">SUM(Q60:Q62)</f>
        <v>1048.288888</v>
      </c>
      <c r="R63" s="14">
        <f t="shared" si="81"/>
        <v>486.28888799999999</v>
      </c>
      <c r="S63" s="14">
        <f t="shared" si="81"/>
        <v>89</v>
      </c>
      <c r="T63" s="14">
        <f t="shared" si="81"/>
        <v>473</v>
      </c>
    </row>
    <row r="64" spans="1:22" ht="31.9" customHeight="1" x14ac:dyDescent="0.25">
      <c r="A64" s="26"/>
      <c r="B64" s="51" t="s">
        <v>30</v>
      </c>
      <c r="C64" s="51"/>
      <c r="D64" s="27"/>
      <c r="E64" s="27"/>
      <c r="F64" s="27"/>
      <c r="G64" s="27"/>
      <c r="H64" s="50"/>
      <c r="I64" s="27"/>
      <c r="J64" s="28">
        <f>AVERAGE(J63,J59,J57,J54,J40,J32)</f>
        <v>0.7560556015519353</v>
      </c>
      <c r="K64" s="8" t="str">
        <f t="shared" si="0"/>
        <v>ALTO</v>
      </c>
      <c r="L64" s="28">
        <f>AVERAGE(L63,L59,L57,L54,L40,L32)</f>
        <v>0.41753247926653564</v>
      </c>
      <c r="M64" s="8" t="str">
        <f t="shared" si="1"/>
        <v>MEDIO</v>
      </c>
      <c r="N64" s="28">
        <f>AVERAGE(N63,N59,N57,N54,N40,N32)</f>
        <v>0.32756112229623274</v>
      </c>
      <c r="O64" s="8" t="str">
        <f t="shared" si="2"/>
        <v>BAJO</v>
      </c>
      <c r="P64" s="29">
        <f>+P63+P59+P57+P54+P40+P32</f>
        <v>7509</v>
      </c>
      <c r="Q64" s="29">
        <f t="shared" ref="Q64:T64" si="82">+Q63+Q59+Q57+Q54+Q40+Q32</f>
        <v>16403.143629000002</v>
      </c>
      <c r="R64" s="29">
        <f t="shared" si="82"/>
        <v>8894.1436290000001</v>
      </c>
      <c r="S64" s="29">
        <f t="shared" si="82"/>
        <v>857</v>
      </c>
      <c r="T64" s="29">
        <f t="shared" si="82"/>
        <v>6652</v>
      </c>
    </row>
    <row r="65" spans="1:22" s="11" customFormat="1" ht="31.9" customHeight="1" x14ac:dyDescent="0.25">
      <c r="A65" s="58" t="s">
        <v>31</v>
      </c>
      <c r="B65" s="52" t="str">
        <f>[2]SP!A6</f>
        <v>SP-PY.1.1 Fortalecimiento de la gestión de la Internacionalización</v>
      </c>
      <c r="C65" s="52"/>
      <c r="D65" s="6" t="str">
        <f>[2]SP!D6</f>
        <v>Proyectos</v>
      </c>
      <c r="E65" s="6">
        <f>+[1]SP!B6</f>
        <v>9</v>
      </c>
      <c r="F65" s="6">
        <f>+[1]SP!C6</f>
        <v>69</v>
      </c>
      <c r="G65" s="5">
        <f t="shared" ref="G65:G67" si="83">+F65-E65</f>
        <v>60</v>
      </c>
      <c r="H65" s="6">
        <v>15</v>
      </c>
      <c r="I65" s="30">
        <f>+'[1]METAS SP'!K2+'[1]METAS SP'!Q2</f>
        <v>19</v>
      </c>
      <c r="J65" s="7">
        <f t="shared" ref="J65:J68" si="84">+I65/H65</f>
        <v>1.2666666666666666</v>
      </c>
      <c r="K65" s="8" t="str">
        <f t="shared" si="0"/>
        <v>MUY ALTO</v>
      </c>
      <c r="L65" s="7">
        <f t="shared" ref="L65:L68" si="85">+P65/Q65</f>
        <v>0.25925925925925924</v>
      </c>
      <c r="M65" s="8" t="str">
        <f t="shared" si="1"/>
        <v>BAJO</v>
      </c>
      <c r="N65" s="7">
        <f t="shared" ref="N65:N68" si="86">+J65*L65</f>
        <v>0.32839506172839505</v>
      </c>
      <c r="O65" s="8" t="str">
        <f t="shared" si="2"/>
        <v>BAJO</v>
      </c>
      <c r="P65" s="9">
        <f t="shared" ref="P65:P68" si="87">+S65+T65</f>
        <v>21</v>
      </c>
      <c r="Q65" s="9">
        <f>([1]SP!F6+[1]SP!H6)/1000000</f>
        <v>81</v>
      </c>
      <c r="R65" s="9">
        <f t="shared" ref="R65:R68" si="88">+Q65-P65</f>
        <v>60</v>
      </c>
      <c r="S65" s="9">
        <f>ROUND([1]EV.ACCIONES.aux!M50/1000000*$S$187/$S$188,0)-V65</f>
        <v>1</v>
      </c>
      <c r="T65" s="9">
        <f>+U65+V65</f>
        <v>20</v>
      </c>
      <c r="U65" s="11">
        <f>ROUND([2]EV_ACCIONES!$I50/1000000*$S$187/$S$188,0)</f>
        <v>20</v>
      </c>
      <c r="V65" s="11">
        <f>ROUND([3]EV.ACCIONES.aux!$M50/1000000*$S$187/$S$188,0)</f>
        <v>0</v>
      </c>
    </row>
    <row r="66" spans="1:22" s="11" customFormat="1" ht="31.9" customHeight="1" x14ac:dyDescent="0.25">
      <c r="A66" s="59"/>
      <c r="B66" s="52" t="str">
        <f>[2]SP!A7</f>
        <v>SP-PY.1.2 Fomento a la internacionalización en casa</v>
      </c>
      <c r="C66" s="52"/>
      <c r="D66" s="6" t="str">
        <f>[2]SP!D7</f>
        <v>Eventos</v>
      </c>
      <c r="E66" s="6">
        <f>+[1]SP!B7</f>
        <v>43</v>
      </c>
      <c r="F66" s="6">
        <f>+[1]SP!C7</f>
        <v>88</v>
      </c>
      <c r="G66" s="5">
        <f t="shared" si="83"/>
        <v>45</v>
      </c>
      <c r="H66" s="6">
        <v>18</v>
      </c>
      <c r="I66" s="30">
        <f>+'[1]METAS SP'!K3+'[1]METAS SP'!Q3</f>
        <v>42</v>
      </c>
      <c r="J66" s="7">
        <f t="shared" si="84"/>
        <v>2.3333333333333335</v>
      </c>
      <c r="K66" s="8" t="str">
        <f t="shared" si="0"/>
        <v>MUY ALTO</v>
      </c>
      <c r="L66" s="7">
        <f t="shared" si="85"/>
        <v>0.59285714285714286</v>
      </c>
      <c r="M66" s="8" t="str">
        <f t="shared" si="1"/>
        <v>MEDIO</v>
      </c>
      <c r="N66" s="7">
        <f t="shared" si="86"/>
        <v>1.3833333333333335</v>
      </c>
      <c r="O66" s="8" t="str">
        <f t="shared" si="2"/>
        <v>MUY ALTO</v>
      </c>
      <c r="P66" s="9">
        <f t="shared" si="87"/>
        <v>83</v>
      </c>
      <c r="Q66" s="9">
        <f>([1]SP!F7+[1]SP!H7)/1000000</f>
        <v>140</v>
      </c>
      <c r="R66" s="9">
        <f t="shared" si="88"/>
        <v>57</v>
      </c>
      <c r="S66" s="9">
        <f>ROUND([1]EV.ACCIONES.aux!M51/1000000*$S$187/$S$188,0)-V66</f>
        <v>15</v>
      </c>
      <c r="T66" s="9">
        <f t="shared" ref="T66:T68" si="89">+U66+V66</f>
        <v>68</v>
      </c>
      <c r="U66" s="11">
        <f>ROUND([2]EV_ACCIONES!$I51/1000000*$S$187/$S$188,0)</f>
        <v>61</v>
      </c>
      <c r="V66" s="11">
        <f>ROUND([3]EV.ACCIONES.aux!$M51/1000000*$S$187/$S$188,0)</f>
        <v>7</v>
      </c>
    </row>
    <row r="67" spans="1:22" s="11" customFormat="1" ht="31.9" customHeight="1" x14ac:dyDescent="0.25">
      <c r="A67" s="59"/>
      <c r="B67" s="52" t="str">
        <f>[2]SP!A8</f>
        <v>SP-PY.1.3 Fortalecimiento de la articulación interinstitucional</v>
      </c>
      <c r="C67" s="52"/>
      <c r="D67" s="6" t="str">
        <f>[2]SP!D8</f>
        <v>Proyectos</v>
      </c>
      <c r="E67" s="6">
        <f>+[1]SP!B8</f>
        <v>55</v>
      </c>
      <c r="F67" s="6">
        <f>+[1]SP!C8</f>
        <v>105</v>
      </c>
      <c r="G67" s="5">
        <f t="shared" si="83"/>
        <v>50</v>
      </c>
      <c r="H67" s="6">
        <v>14</v>
      </c>
      <c r="I67" s="30">
        <f>+'[1]METAS SP'!K4+'[1]METAS SP'!Q4</f>
        <v>25</v>
      </c>
      <c r="J67" s="7">
        <f t="shared" si="84"/>
        <v>1.7857142857142858</v>
      </c>
      <c r="K67" s="8" t="str">
        <f t="shared" si="0"/>
        <v>MUY ALTO</v>
      </c>
      <c r="L67" s="7">
        <f t="shared" si="85"/>
        <v>0.11578947368421053</v>
      </c>
      <c r="M67" s="8" t="str">
        <f t="shared" si="1"/>
        <v>MUY BAJO</v>
      </c>
      <c r="N67" s="7">
        <f t="shared" si="86"/>
        <v>0.2067669172932331</v>
      </c>
      <c r="O67" s="8" t="str">
        <f t="shared" si="2"/>
        <v>BAJO</v>
      </c>
      <c r="P67" s="9">
        <f t="shared" si="87"/>
        <v>11</v>
      </c>
      <c r="Q67" s="9">
        <f>([1]SP!F8+[1]SP!H8)/1000000</f>
        <v>95</v>
      </c>
      <c r="R67" s="9">
        <f t="shared" si="88"/>
        <v>84</v>
      </c>
      <c r="S67" s="9">
        <f>ROUND([1]EV.ACCIONES.aux!M52/1000000*$S$187/$S$188,0)-V67</f>
        <v>0</v>
      </c>
      <c r="T67" s="9">
        <f t="shared" si="89"/>
        <v>11</v>
      </c>
      <c r="U67" s="11">
        <f>ROUND([2]EV_ACCIONES!$I52/1000000*$S$187/$S$188,0)</f>
        <v>3</v>
      </c>
      <c r="V67" s="11">
        <f>ROUND([3]EV.ACCIONES.aux!$M52/1000000*$S$187/$S$188,0)</f>
        <v>8</v>
      </c>
    </row>
    <row r="68" spans="1:22" s="11" customFormat="1" ht="31.9" customHeight="1" x14ac:dyDescent="0.25">
      <c r="A68" s="59"/>
      <c r="B68" s="52" t="str">
        <f>[2]SP!A9</f>
        <v>SP-PY.1.4 Fortalecimiento de la movilidad académica e investigativa</v>
      </c>
      <c r="C68" s="52"/>
      <c r="D68" s="6" t="str">
        <f>[2]SP!D9</f>
        <v>Movilidades apoyadas</v>
      </c>
      <c r="E68" s="6">
        <f>+[1]SP!B9</f>
        <v>559</v>
      </c>
      <c r="F68" s="6">
        <f>+[1]SP!C9</f>
        <v>1309</v>
      </c>
      <c r="G68" s="6">
        <f>+F68-E68</f>
        <v>750</v>
      </c>
      <c r="H68" s="6">
        <v>285</v>
      </c>
      <c r="I68" s="30">
        <f>+'[1]METAS SP'!K5+'[1]METAS SP'!Q5</f>
        <v>2202</v>
      </c>
      <c r="J68" s="7">
        <f t="shared" si="84"/>
        <v>7.7263157894736842</v>
      </c>
      <c r="K68" s="8" t="str">
        <f t="shared" ref="K68:K185" si="90">IF(J68&lt;=20%,"MUY BAJO",IF(AND(J68&gt;20%,J68&lt;=40%),"BAJO",IF(AND(J68&gt;40%,J68&lt;=60%),"MEDIO",IF(AND(J68&gt;60%,J68&lt;=80%),"ALTO","MUY ALTO"))))</f>
        <v>MUY ALTO</v>
      </c>
      <c r="L68" s="7">
        <f t="shared" si="85"/>
        <v>7.1172266540138196E-2</v>
      </c>
      <c r="M68" s="8" t="str">
        <f t="shared" ref="M68:M185" si="91">IF(L68&lt;=20%,"MUY BAJO",IF(AND(L68&gt;20%,L68&lt;=40%),"BAJO",IF(AND(L68&gt;40%,L68&lt;=60%),"MEDIO",IF(AND(L68&gt;60%,L68&lt;=80%),"ALTO","MUY ALTO"))))</f>
        <v>MUY BAJO</v>
      </c>
      <c r="N68" s="7">
        <f t="shared" si="86"/>
        <v>0.54989940674169935</v>
      </c>
      <c r="O68" s="8" t="str">
        <f t="shared" ref="O68:O184" si="92">IF(N68&lt;=20%,"MUY BAJO",IF(AND(N68&gt;20%,N68&lt;=40%),"BAJO",IF(AND(N68&gt;40%,N68&lt;=60%),"MEDIO",IF(AND(N68&gt;60%,N68&lt;=80%),"ALTO","MUY ALTO"))))</f>
        <v>MEDIO</v>
      </c>
      <c r="P68" s="9">
        <f t="shared" si="87"/>
        <v>48</v>
      </c>
      <c r="Q68" s="9">
        <f>([1]SP!F9+[1]SP!H9)/1000000</f>
        <v>674.42</v>
      </c>
      <c r="R68" s="9">
        <f t="shared" si="88"/>
        <v>626.41999999999996</v>
      </c>
      <c r="S68" s="9">
        <f>ROUND([1]EV.ACCIONES.aux!M53/1000000*$S$187/$S$188,0)-V68</f>
        <v>4</v>
      </c>
      <c r="T68" s="9">
        <f t="shared" si="89"/>
        <v>44</v>
      </c>
      <c r="U68" s="11">
        <f>ROUND([2]EV_ACCIONES!$I53/1000000*$S$187/$S$188,0)</f>
        <v>39</v>
      </c>
      <c r="V68" s="11">
        <f>ROUND([3]EV.ACCIONES.aux!$M53/1000000*$S$187/$S$188,0)</f>
        <v>5</v>
      </c>
    </row>
    <row r="69" spans="1:22" ht="28.15" customHeight="1" thickBot="1" x14ac:dyDescent="0.3">
      <c r="A69" s="59"/>
      <c r="B69" s="53" t="s">
        <v>32</v>
      </c>
      <c r="C69" s="53"/>
      <c r="D69" s="23"/>
      <c r="E69" s="23"/>
      <c r="F69" s="23"/>
      <c r="G69" s="23"/>
      <c r="H69" s="23"/>
      <c r="I69" s="23"/>
      <c r="J69" s="24">
        <f>AVERAGE(J65:J68)</f>
        <v>3.2780075187969926</v>
      </c>
      <c r="K69" s="8" t="str">
        <f t="shared" si="90"/>
        <v>MUY ALTO</v>
      </c>
      <c r="L69" s="24">
        <f>AVERAGE(L65:L68)</f>
        <v>0.25976953558518767</v>
      </c>
      <c r="M69" s="8" t="str">
        <f t="shared" si="91"/>
        <v>BAJO</v>
      </c>
      <c r="N69" s="24">
        <f>AVERAGE(N65:N68)</f>
        <v>0.61709867977416533</v>
      </c>
      <c r="O69" s="8" t="str">
        <f t="shared" si="92"/>
        <v>ALTO</v>
      </c>
      <c r="P69" s="14">
        <f>SUM(P65:P68)</f>
        <v>163</v>
      </c>
      <c r="Q69" s="14">
        <f t="shared" ref="Q69:T69" si="93">SUM(Q65:Q68)</f>
        <v>990.42</v>
      </c>
      <c r="R69" s="14">
        <f t="shared" si="93"/>
        <v>827.42</v>
      </c>
      <c r="S69" s="14">
        <f t="shared" si="93"/>
        <v>20</v>
      </c>
      <c r="T69" s="14">
        <f t="shared" si="93"/>
        <v>143</v>
      </c>
    </row>
    <row r="70" spans="1:22" s="11" customFormat="1" ht="28.15" customHeight="1" x14ac:dyDescent="0.25">
      <c r="A70" s="59"/>
      <c r="B70" s="52" t="str">
        <f>[2]SP!$A$15</f>
        <v>SP-PY.2.1 Operación y desarrollo del Centro de Emprendimiento e Innovación</v>
      </c>
      <c r="C70" s="52"/>
      <c r="D70" s="6" t="str">
        <f>[2]SP!D15</f>
        <v>Número de iniciativas emprendedoras registradas</v>
      </c>
      <c r="E70" s="6">
        <f>+[1]SP!B15</f>
        <v>130</v>
      </c>
      <c r="F70" s="6">
        <f>+[1]SP!C15</f>
        <v>130</v>
      </c>
      <c r="G70" s="6">
        <f>+F70</f>
        <v>130</v>
      </c>
      <c r="H70" s="6">
        <v>130</v>
      </c>
      <c r="I70" s="30">
        <f>+'[1]METAS SP'!Q6</f>
        <v>85</v>
      </c>
      <c r="J70" s="7">
        <f t="shared" ref="J70:J90" si="94">+I70/H70</f>
        <v>0.65384615384615385</v>
      </c>
      <c r="K70" s="8" t="str">
        <f t="shared" si="90"/>
        <v>ALTO</v>
      </c>
      <c r="L70" s="7">
        <f t="shared" ref="L70:L87" si="95">+P70/Q70</f>
        <v>0.29921259842519687</v>
      </c>
      <c r="M70" s="8" t="str">
        <f t="shared" si="91"/>
        <v>BAJO</v>
      </c>
      <c r="N70" s="7">
        <f t="shared" ref="N70:N87" si="96">+J70*L70</f>
        <v>0.19563900666262873</v>
      </c>
      <c r="O70" s="8" t="str">
        <f t="shared" si="92"/>
        <v>MUY BAJO</v>
      </c>
      <c r="P70" s="9">
        <f t="shared" ref="P70" si="97">+S70+T70</f>
        <v>228</v>
      </c>
      <c r="Q70" s="9">
        <f>([1]SP!F15+[1]SP!H15)/1000000</f>
        <v>762</v>
      </c>
      <c r="R70" s="9">
        <f t="shared" ref="R70" si="98">+Q70-P70</f>
        <v>534</v>
      </c>
      <c r="S70" s="9">
        <f>ROUND([1]EV.ACCIONES.aux!M54/1000000*$S$187/$S$188,0)-V70</f>
        <v>1</v>
      </c>
      <c r="T70" s="9">
        <f>+U70+V70</f>
        <v>227</v>
      </c>
      <c r="U70" s="11">
        <f>ROUND([2]EV_ACCIONES!$I54/1000000*$S$187/$S$188,0)</f>
        <v>171</v>
      </c>
      <c r="V70" s="11">
        <f>ROUND([3]EV.ACCIONES.aux!$M54/1000000*$S$187/$S$188,0)</f>
        <v>56</v>
      </c>
    </row>
    <row r="71" spans="1:22" s="11" customFormat="1" ht="32.450000000000003" customHeight="1" x14ac:dyDescent="0.25">
      <c r="A71" s="59"/>
      <c r="B71" s="52" t="str">
        <f>[2]SP!$A$15</f>
        <v>SP-PY.2.1 Operación y desarrollo del Centro de Emprendimiento e Innovación</v>
      </c>
      <c r="C71" s="52"/>
      <c r="D71" s="6" t="str">
        <f>[2]SP!D16</f>
        <v>Número de eventos por año</v>
      </c>
      <c r="E71" s="6">
        <f>+[1]SP!B16</f>
        <v>14</v>
      </c>
      <c r="F71" s="6">
        <f>+[1]SP!C16</f>
        <v>21</v>
      </c>
      <c r="G71" s="5">
        <f t="shared" ref="G71:G90" si="99">+F71-E71</f>
        <v>7</v>
      </c>
      <c r="H71" s="6">
        <v>17</v>
      </c>
      <c r="I71" s="30">
        <f>+'[1]METAS SP'!Q7</f>
        <v>36</v>
      </c>
      <c r="J71" s="7">
        <f t="shared" si="94"/>
        <v>2.1176470588235294</v>
      </c>
      <c r="K71" s="8" t="str">
        <f t="shared" si="90"/>
        <v>MUY ALTO</v>
      </c>
      <c r="L71" s="7"/>
      <c r="M71" s="8"/>
      <c r="N71" s="7"/>
      <c r="O71" s="8"/>
      <c r="P71" s="31"/>
      <c r="Q71" s="31"/>
      <c r="R71" s="31"/>
      <c r="S71" s="31"/>
      <c r="T71" s="31"/>
    </row>
    <row r="72" spans="1:22" s="11" customFormat="1" ht="28.15" customHeight="1" x14ac:dyDescent="0.25">
      <c r="A72" s="59"/>
      <c r="B72" s="52" t="str">
        <f>[2]SP!$A$15</f>
        <v>SP-PY.2.1 Operación y desarrollo del Centro de Emprendimiento e Innovación</v>
      </c>
      <c r="C72" s="52"/>
      <c r="D72" s="6" t="str">
        <f>[2]SP!D17</f>
        <v>No. de acompañamientos</v>
      </c>
      <c r="E72" s="6">
        <f>+[1]SP!B17</f>
        <v>0</v>
      </c>
      <c r="F72" s="6">
        <f>+[1]SP!C17</f>
        <v>0</v>
      </c>
      <c r="G72" s="5">
        <f t="shared" si="99"/>
        <v>0</v>
      </c>
      <c r="H72" s="6">
        <v>0</v>
      </c>
      <c r="I72" s="30">
        <f>+'[1]METAS SP'!K8+'[1]METAS SP'!Q8</f>
        <v>599</v>
      </c>
      <c r="J72" s="7">
        <v>0</v>
      </c>
      <c r="K72" s="8" t="str">
        <f t="shared" si="90"/>
        <v>MUY BAJO</v>
      </c>
      <c r="L72" s="7"/>
      <c r="M72" s="8"/>
      <c r="N72" s="7"/>
      <c r="O72" s="8"/>
      <c r="P72" s="31"/>
      <c r="Q72" s="31"/>
      <c r="R72" s="31"/>
      <c r="S72" s="31"/>
      <c r="T72" s="31"/>
    </row>
    <row r="73" spans="1:22" s="11" customFormat="1" ht="28.15" customHeight="1" x14ac:dyDescent="0.25">
      <c r="A73" s="59"/>
      <c r="B73" s="52" t="str">
        <f>[2]SP!$A$15</f>
        <v>SP-PY.2.1 Operación y desarrollo del Centro de Emprendimiento e Innovación</v>
      </c>
      <c r="C73" s="52"/>
      <c r="D73" s="6" t="str">
        <f>[2]SP!D18</f>
        <v>Numero de patentes valoradas</v>
      </c>
      <c r="E73" s="6">
        <f>+[1]SP!B18</f>
        <v>3</v>
      </c>
      <c r="F73" s="6">
        <f>+[1]SP!C18</f>
        <v>8</v>
      </c>
      <c r="G73" s="5">
        <f t="shared" si="99"/>
        <v>5</v>
      </c>
      <c r="H73" s="6">
        <v>2</v>
      </c>
      <c r="I73" s="30">
        <f>+'[1]METAS SP'!K9+'[1]METAS SP'!Q9</f>
        <v>0</v>
      </c>
      <c r="J73" s="7">
        <f t="shared" si="94"/>
        <v>0</v>
      </c>
      <c r="K73" s="8" t="str">
        <f t="shared" si="90"/>
        <v>MUY BAJO</v>
      </c>
      <c r="L73" s="7"/>
      <c r="M73" s="8"/>
      <c r="N73" s="7"/>
      <c r="O73" s="8"/>
      <c r="P73" s="9">
        <f t="shared" ref="P73:P74" si="100">+S73+T73</f>
        <v>0</v>
      </c>
      <c r="Q73" s="9">
        <f>([1]SP!F18+[1]SP!H18)/1000000</f>
        <v>50</v>
      </c>
      <c r="R73" s="9">
        <f t="shared" ref="R73:R74" si="101">+Q73-P73</f>
        <v>50</v>
      </c>
      <c r="S73" s="9"/>
      <c r="T73" s="9"/>
    </row>
    <row r="74" spans="1:22" s="11" customFormat="1" ht="28.15" customHeight="1" x14ac:dyDescent="0.25">
      <c r="A74" s="59"/>
      <c r="B74" s="52" t="str">
        <f>[2]SP!$A$19</f>
        <v xml:space="preserve">SP-PY.2.2 Operación y desarrollo del Consultorio Empresarial y Contable </v>
      </c>
      <c r="C74" s="52"/>
      <c r="D74" s="6" t="str">
        <f>[2]SP!D19</f>
        <v>No. de Asesorias</v>
      </c>
      <c r="E74" s="6">
        <f>+[1]SP!B19</f>
        <v>1974</v>
      </c>
      <c r="F74" s="6">
        <f>+[1]SP!C19</f>
        <v>5115.5712000000003</v>
      </c>
      <c r="G74" s="6">
        <f>+F74-E74</f>
        <v>3141.5712000000003</v>
      </c>
      <c r="H74" s="6">
        <v>5427</v>
      </c>
      <c r="I74" s="30">
        <f>+'[1]METAS SP'!K10+'[1]METAS SP'!Q10</f>
        <v>1684</v>
      </c>
      <c r="J74" s="7">
        <f t="shared" si="94"/>
        <v>0.3103003501013451</v>
      </c>
      <c r="K74" s="8" t="str">
        <f t="shared" si="90"/>
        <v>BAJO</v>
      </c>
      <c r="L74" s="7">
        <f t="shared" si="95"/>
        <v>0.29757785467128028</v>
      </c>
      <c r="M74" s="8" t="str">
        <f t="shared" si="91"/>
        <v>BAJO</v>
      </c>
      <c r="N74" s="7">
        <f t="shared" si="96"/>
        <v>9.2338512486905472E-2</v>
      </c>
      <c r="O74" s="8" t="str">
        <f t="shared" si="92"/>
        <v>MUY BAJO</v>
      </c>
      <c r="P74" s="9">
        <f t="shared" si="100"/>
        <v>86</v>
      </c>
      <c r="Q74" s="9">
        <f>([1]SP!F19+[1]SP!H19)/1000000</f>
        <v>289</v>
      </c>
      <c r="R74" s="9">
        <f t="shared" si="101"/>
        <v>203</v>
      </c>
      <c r="S74" s="9">
        <f>ROUND([1]EV.ACCIONES.aux!M55/1000000*$S$187/$S$188,0)-V74</f>
        <v>29</v>
      </c>
      <c r="T74" s="9">
        <f>+U74+V74</f>
        <v>57</v>
      </c>
      <c r="U74" s="11">
        <f>ROUND([2]EV_ACCIONES!$I55/1000000*$S$187/$S$188,0)</f>
        <v>28</v>
      </c>
      <c r="V74" s="11">
        <f>ROUND([3]EV.ACCIONES.aux!$M55/1000000*$S$187/$S$188,0)</f>
        <v>29</v>
      </c>
    </row>
    <row r="75" spans="1:22" s="11" customFormat="1" ht="28.15" customHeight="1" x14ac:dyDescent="0.25">
      <c r="A75" s="59"/>
      <c r="B75" s="52" t="str">
        <f>[2]SP!$A$19</f>
        <v xml:space="preserve">SP-PY.2.2 Operación y desarrollo del Consultorio Empresarial y Contable </v>
      </c>
      <c r="C75" s="52"/>
      <c r="D75" s="6" t="str">
        <f>[2]SP!D20</f>
        <v>No. de eventos</v>
      </c>
      <c r="E75" s="6">
        <f>+[1]SP!B20</f>
        <v>75</v>
      </c>
      <c r="F75" s="6">
        <f>+[1]SP!C20</f>
        <v>96.024993749999993</v>
      </c>
      <c r="G75" s="6">
        <f t="shared" si="99"/>
        <v>21.024993749999993</v>
      </c>
      <c r="H75" s="6">
        <v>162</v>
      </c>
      <c r="I75" s="30">
        <f>+'[1]METAS SP'!K11+'[1]METAS SP'!Q11</f>
        <v>68</v>
      </c>
      <c r="J75" s="7">
        <f t="shared" si="94"/>
        <v>0.41975308641975306</v>
      </c>
      <c r="K75" s="8" t="str">
        <f t="shared" si="90"/>
        <v>MEDIO</v>
      </c>
      <c r="L75" s="7"/>
      <c r="M75" s="8"/>
      <c r="N75" s="7"/>
      <c r="O75" s="8"/>
      <c r="P75" s="31"/>
      <c r="Q75" s="31"/>
      <c r="R75" s="31"/>
      <c r="S75" s="31"/>
      <c r="T75" s="31"/>
    </row>
    <row r="76" spans="1:22" s="11" customFormat="1" ht="28.15" customHeight="1" x14ac:dyDescent="0.25">
      <c r="A76" s="59"/>
      <c r="B76" s="52" t="str">
        <f>[2]SP!$A$19</f>
        <v xml:space="preserve">SP-PY.2.2 Operación y desarrollo del Consultorio Empresarial y Contable </v>
      </c>
      <c r="C76" s="52"/>
      <c r="D76" s="6" t="str">
        <f>[2]SP!D21</f>
        <v xml:space="preserve">No. Personas poblacion vulnerable </v>
      </c>
      <c r="E76" s="6">
        <f>+[1]SP!B21</f>
        <v>6624</v>
      </c>
      <c r="F76" s="6">
        <f>+[1]SP!C21</f>
        <v>16480.9728</v>
      </c>
      <c r="G76" s="6">
        <f t="shared" si="99"/>
        <v>9856.9727999999996</v>
      </c>
      <c r="H76" s="6">
        <v>17486</v>
      </c>
      <c r="I76" s="30">
        <f>+'[1]METAS SP'!K12+'[1]METAS SP'!Q12</f>
        <v>3195</v>
      </c>
      <c r="J76" s="7">
        <f t="shared" si="94"/>
        <v>0.18271760265355141</v>
      </c>
      <c r="K76" s="8" t="str">
        <f t="shared" si="90"/>
        <v>MUY BAJO</v>
      </c>
      <c r="L76" s="7"/>
      <c r="M76" s="8"/>
      <c r="N76" s="7"/>
      <c r="O76" s="8"/>
      <c r="P76" s="31"/>
      <c r="Q76" s="31"/>
      <c r="R76" s="31"/>
      <c r="S76" s="31"/>
      <c r="T76" s="31"/>
    </row>
    <row r="77" spans="1:22" s="11" customFormat="1" ht="28.15" customHeight="1" x14ac:dyDescent="0.25">
      <c r="A77" s="59"/>
      <c r="B77" s="52" t="str">
        <f>[2]SP!A22</f>
        <v xml:space="preserve">SP-PY.2.3 Unidades de Servicios de Atención Psicológica (USAP): Consultorio clínico Neiva. </v>
      </c>
      <c r="C77" s="52"/>
      <c r="D77" s="6" t="str">
        <f>[2]SP!D22</f>
        <v xml:space="preserve">No. de personas beneficiarias NEIVA </v>
      </c>
      <c r="E77" s="6">
        <f>+[1]SP!B22</f>
        <v>0</v>
      </c>
      <c r="F77" s="6">
        <f>+[1]SP!C22</f>
        <v>512</v>
      </c>
      <c r="G77" s="5">
        <f t="shared" si="99"/>
        <v>512</v>
      </c>
      <c r="H77" s="6">
        <v>128</v>
      </c>
      <c r="I77" s="30">
        <f>+'[1]METAS SP'!K13+'[1]METAS SP'!Q13</f>
        <v>107</v>
      </c>
      <c r="J77" s="7">
        <f t="shared" si="94"/>
        <v>0.8359375</v>
      </c>
      <c r="K77" s="8" t="str">
        <f t="shared" si="90"/>
        <v>MUY ALTO</v>
      </c>
      <c r="L77" s="7">
        <f t="shared" si="95"/>
        <v>8.2914098920665716E-2</v>
      </c>
      <c r="M77" s="8" t="str">
        <f t="shared" si="91"/>
        <v>MUY BAJO</v>
      </c>
      <c r="N77" s="7">
        <f t="shared" si="96"/>
        <v>6.9311004566494E-2</v>
      </c>
      <c r="O77" s="8" t="str">
        <f t="shared" si="92"/>
        <v>MUY BAJO</v>
      </c>
      <c r="P77" s="9">
        <f t="shared" ref="P77:P80" si="102">+S77+T77</f>
        <v>10</v>
      </c>
      <c r="Q77" s="9">
        <f>([1]SP!F22+[1]SP!H22)/1000000</f>
        <v>120.60675000000001</v>
      </c>
      <c r="R77" s="9">
        <f t="shared" ref="R77:R80" si="103">+Q77-P77</f>
        <v>110.60675000000001</v>
      </c>
      <c r="S77" s="9">
        <f>ROUND([1]EV.ACCIONES.aux!M56/1000000*$S$187/$S$188,0)-V77</f>
        <v>0</v>
      </c>
      <c r="T77" s="9">
        <f>+U77+V77</f>
        <v>10</v>
      </c>
      <c r="U77" s="11">
        <f>ROUND([2]EV_ACCIONES!$I56/1000000*$S$187/$S$188,0)</f>
        <v>0</v>
      </c>
      <c r="V77" s="11">
        <f>ROUND([3]EV.ACCIONES.aux!$M56/1000000*$S$187/$S$188,0)</f>
        <v>10</v>
      </c>
    </row>
    <row r="78" spans="1:22" s="11" customFormat="1" ht="28.15" customHeight="1" x14ac:dyDescent="0.25">
      <c r="A78" s="59"/>
      <c r="B78" s="52" t="str">
        <f>[2]SP!A23</f>
        <v>SP-PY.2.4 Unidades de Servicios de Atención Psicológica (USAP): Orientación y acompañamiento psicosocial Neiva</v>
      </c>
      <c r="C78" s="52"/>
      <c r="D78" s="6" t="str">
        <f>[2]SP!D23</f>
        <v xml:space="preserve">No. de personas beneficiarias NEIVA </v>
      </c>
      <c r="E78" s="6">
        <f>+[1]SP!B23</f>
        <v>1614</v>
      </c>
      <c r="F78" s="6">
        <f>+[1]SP!C23</f>
        <v>9684</v>
      </c>
      <c r="G78" s="5">
        <f t="shared" si="99"/>
        <v>8070</v>
      </c>
      <c r="H78" s="6">
        <v>8070</v>
      </c>
      <c r="I78" s="30">
        <f>+'[1]METAS SP'!K14+'[1]METAS SP'!Q14</f>
        <v>4376</v>
      </c>
      <c r="J78" s="7">
        <f t="shared" si="94"/>
        <v>0.54225526641883515</v>
      </c>
      <c r="K78" s="8" t="str">
        <f t="shared" si="90"/>
        <v>MEDIO</v>
      </c>
      <c r="L78" s="7">
        <f t="shared" si="95"/>
        <v>0.49719997906526403</v>
      </c>
      <c r="M78" s="8" t="str">
        <f t="shared" si="91"/>
        <v>MEDIO</v>
      </c>
      <c r="N78" s="7">
        <f t="shared" si="96"/>
        <v>0.26960930711147402</v>
      </c>
      <c r="O78" s="8" t="str">
        <f t="shared" si="92"/>
        <v>BAJO</v>
      </c>
      <c r="P78" s="9">
        <f t="shared" si="102"/>
        <v>57</v>
      </c>
      <c r="Q78" s="9">
        <f>([1]SP!F23+[1]SP!H23)/1000000</f>
        <v>114.642</v>
      </c>
      <c r="R78" s="9">
        <f t="shared" si="103"/>
        <v>57.641999999999996</v>
      </c>
      <c r="S78" s="9">
        <f>ROUND([1]EV.ACCIONES.aux!M57/1000000*$S$187/$S$188,0)-V78</f>
        <v>0</v>
      </c>
      <c r="T78" s="9">
        <f t="shared" ref="T78:T80" si="104">+U78+V78</f>
        <v>57</v>
      </c>
      <c r="U78" s="11">
        <f>ROUND([2]EV_ACCIONES!$I57/1000000*$S$187/$S$188,0)</f>
        <v>39</v>
      </c>
      <c r="V78" s="11">
        <f>ROUND([3]EV.ACCIONES.aux!$M57/1000000*$S$187/$S$188,0)</f>
        <v>18</v>
      </c>
    </row>
    <row r="79" spans="1:22" s="11" customFormat="1" ht="28.15" customHeight="1" x14ac:dyDescent="0.25">
      <c r="A79" s="59"/>
      <c r="B79" s="52" t="str">
        <f>[2]SP!A24</f>
        <v>SP-PY.2.5 Unidades de Servicios de Atención Psicológica (USAP): Orientación y acompañamiento psicosocial Sedes</v>
      </c>
      <c r="C79" s="52"/>
      <c r="D79" s="6" t="str">
        <f>[2]SP!D24</f>
        <v>No. de personas beneficiarias SEDES</v>
      </c>
      <c r="E79" s="6">
        <f>+[1]SP!B24</f>
        <v>700</v>
      </c>
      <c r="F79" s="6">
        <f>+[1]SP!C24</f>
        <v>9100</v>
      </c>
      <c r="G79" s="5">
        <f t="shared" si="99"/>
        <v>8400</v>
      </c>
      <c r="H79" s="6">
        <v>3500</v>
      </c>
      <c r="I79" s="30">
        <f>+'[1]METAS SP'!K15+'[1]METAS SP'!Q15</f>
        <v>1450</v>
      </c>
      <c r="J79" s="7">
        <f t="shared" si="94"/>
        <v>0.41428571428571431</v>
      </c>
      <c r="K79" s="8" t="str">
        <f t="shared" si="90"/>
        <v>MEDIO</v>
      </c>
      <c r="L79" s="7">
        <f t="shared" si="95"/>
        <v>0.22825365205843295</v>
      </c>
      <c r="M79" s="8" t="str">
        <f t="shared" si="91"/>
        <v>BAJO</v>
      </c>
      <c r="N79" s="7">
        <f t="shared" si="96"/>
        <v>9.4562227281350802E-2</v>
      </c>
      <c r="O79" s="8" t="str">
        <f t="shared" si="92"/>
        <v>MUY BAJO</v>
      </c>
      <c r="P79" s="9">
        <f t="shared" si="102"/>
        <v>33</v>
      </c>
      <c r="Q79" s="9">
        <f>([1]SP!F24+[1]SP!H24)/1000000</f>
        <v>144.57599999999999</v>
      </c>
      <c r="R79" s="9">
        <f t="shared" si="103"/>
        <v>111.57599999999999</v>
      </c>
      <c r="S79" s="9">
        <f>ROUND([1]EV.ACCIONES.aux!M58/1000000*$S$187/$S$188,0)-V79</f>
        <v>0</v>
      </c>
      <c r="T79" s="9">
        <f t="shared" si="104"/>
        <v>33</v>
      </c>
      <c r="U79" s="11">
        <f>ROUND([2]EV_ACCIONES!$I58/1000000*$S$187/$S$188,0)</f>
        <v>20</v>
      </c>
      <c r="V79" s="11">
        <f>ROUND([3]EV.ACCIONES.aux!$M58/1000000*$S$187/$S$188,0)</f>
        <v>13</v>
      </c>
    </row>
    <row r="80" spans="1:22" s="11" customFormat="1" ht="28.15" customHeight="1" x14ac:dyDescent="0.25">
      <c r="A80" s="59"/>
      <c r="B80" s="52" t="str">
        <f>[2]SP!$A$25</f>
        <v>SP-PY.2.6 Operación y desarrollo del Centro de Conciliación</v>
      </c>
      <c r="C80" s="52"/>
      <c r="D80" s="6" t="str">
        <f>[2]SP!D25</f>
        <v>No. Estudientes de la facultad capacitados</v>
      </c>
      <c r="E80" s="6">
        <f>+[1]SP!B25</f>
        <v>8</v>
      </c>
      <c r="F80" s="6">
        <f>+[1]SP!C25</f>
        <v>20</v>
      </c>
      <c r="G80" s="5">
        <f t="shared" si="99"/>
        <v>12</v>
      </c>
      <c r="H80" s="6">
        <v>26</v>
      </c>
      <c r="I80" s="30">
        <f>+'[1]METAS SP'!K16+'[1]METAS SP'!Q16</f>
        <v>2105</v>
      </c>
      <c r="J80" s="7">
        <f t="shared" si="94"/>
        <v>80.961538461538467</v>
      </c>
      <c r="K80" s="8" t="str">
        <f t="shared" si="90"/>
        <v>MUY ALTO</v>
      </c>
      <c r="L80" s="7">
        <f t="shared" si="95"/>
        <v>0.4</v>
      </c>
      <c r="M80" s="8" t="str">
        <f t="shared" si="91"/>
        <v>BAJO</v>
      </c>
      <c r="N80" s="7">
        <f t="shared" si="96"/>
        <v>32.384615384615387</v>
      </c>
      <c r="O80" s="8" t="str">
        <f t="shared" si="92"/>
        <v>MUY ALTO</v>
      </c>
      <c r="P80" s="9">
        <f t="shared" si="102"/>
        <v>68</v>
      </c>
      <c r="Q80" s="9">
        <f>([1]SP!F25+[1]SP!H25)/1000000</f>
        <v>170</v>
      </c>
      <c r="R80" s="9">
        <f t="shared" si="103"/>
        <v>102</v>
      </c>
      <c r="S80" s="9">
        <f>ROUND([1]EV.ACCIONES.aux!M59/1000000*$S$187/$S$188,0)-V80</f>
        <v>2</v>
      </c>
      <c r="T80" s="9">
        <f t="shared" si="104"/>
        <v>66</v>
      </c>
      <c r="U80" s="11">
        <f>ROUND([2]EV_ACCIONES!$I59/1000000*$S$187/$S$188,0)</f>
        <v>46</v>
      </c>
      <c r="V80" s="11">
        <f>ROUND([3]EV.ACCIONES.aux!$M59/1000000*$S$187/$S$188,0)</f>
        <v>20</v>
      </c>
    </row>
    <row r="81" spans="1:22" s="11" customFormat="1" ht="28.15" customHeight="1" x14ac:dyDescent="0.25">
      <c r="A81" s="59"/>
      <c r="B81" s="52" t="str">
        <f>[2]SP!$A$25</f>
        <v>SP-PY.2.6 Operación y desarrollo del Centro de Conciliación</v>
      </c>
      <c r="C81" s="52"/>
      <c r="D81" s="6" t="str">
        <f>[2]SP!D26</f>
        <v>No. de estudiantes capacitados en conciliación escolar</v>
      </c>
      <c r="E81" s="6">
        <f>+[1]SP!B26</f>
        <v>1170</v>
      </c>
      <c r="F81" s="6">
        <f>+[1]SP!C26</f>
        <v>3566</v>
      </c>
      <c r="G81" s="5">
        <f t="shared" si="99"/>
        <v>2396</v>
      </c>
      <c r="H81" s="6">
        <v>3289</v>
      </c>
      <c r="I81" s="30">
        <f>+'[1]METAS SP'!K17+'[1]METAS SP'!Q17</f>
        <v>247</v>
      </c>
      <c r="J81" s="7">
        <f t="shared" si="94"/>
        <v>7.5098814229249009E-2</v>
      </c>
      <c r="K81" s="8" t="str">
        <f t="shared" si="90"/>
        <v>MUY BAJO</v>
      </c>
      <c r="L81" s="7"/>
      <c r="M81" s="8"/>
      <c r="N81" s="7"/>
      <c r="O81" s="8"/>
      <c r="P81" s="31"/>
      <c r="Q81" s="31"/>
      <c r="R81" s="31"/>
      <c r="S81" s="31"/>
      <c r="T81" s="31"/>
    </row>
    <row r="82" spans="1:22" s="11" customFormat="1" ht="28.15" customHeight="1" x14ac:dyDescent="0.25">
      <c r="A82" s="59"/>
      <c r="B82" s="52" t="str">
        <f>[2]SP!$A$25</f>
        <v>SP-PY.2.6 Operación y desarrollo del Centro de Conciliación</v>
      </c>
      <c r="C82" s="52"/>
      <c r="D82" s="6" t="str">
        <f>[2]SP!D27</f>
        <v>No. De beneficiarios  audicencias</v>
      </c>
      <c r="E82" s="6">
        <f>+[1]SP!B27</f>
        <v>3352</v>
      </c>
      <c r="F82" s="6">
        <f>+[1]SP!C27</f>
        <v>10227</v>
      </c>
      <c r="G82" s="5">
        <f t="shared" si="99"/>
        <v>6875</v>
      </c>
      <c r="H82" s="6">
        <v>9427</v>
      </c>
      <c r="I82" s="30">
        <f>+'[1]METAS SP'!K18+'[1]METAS SP'!Q18</f>
        <v>162</v>
      </c>
      <c r="J82" s="7">
        <f t="shared" si="94"/>
        <v>1.7184682295534104E-2</v>
      </c>
      <c r="K82" s="8" t="str">
        <f t="shared" si="90"/>
        <v>MUY BAJO</v>
      </c>
      <c r="L82" s="7"/>
      <c r="M82" s="8"/>
      <c r="N82" s="7"/>
      <c r="O82" s="8"/>
      <c r="P82" s="31"/>
      <c r="Q82" s="31"/>
      <c r="R82" s="31"/>
      <c r="S82" s="31"/>
      <c r="T82" s="31"/>
    </row>
    <row r="83" spans="1:22" s="11" customFormat="1" ht="28.15" customHeight="1" x14ac:dyDescent="0.25">
      <c r="A83" s="59"/>
      <c r="B83" s="52" t="str">
        <f>[2]SP!$A$25</f>
        <v>SP-PY.2.6 Operación y desarrollo del Centro de Conciliación</v>
      </c>
      <c r="C83" s="52"/>
      <c r="D83" s="6" t="str">
        <f>[2]SP!D28</f>
        <v>No. De asistentes  audicencias</v>
      </c>
      <c r="E83" s="6">
        <f>+[1]SP!B28</f>
        <v>259</v>
      </c>
      <c r="F83" s="6">
        <f>+[1]SP!C28</f>
        <v>1036</v>
      </c>
      <c r="G83" s="5">
        <f t="shared" si="99"/>
        <v>777</v>
      </c>
      <c r="H83" s="6">
        <v>1163</v>
      </c>
      <c r="I83" s="30">
        <f>+'[1]METAS SP'!K19+'[1]METAS SP'!Q19</f>
        <v>55</v>
      </c>
      <c r="J83" s="7">
        <f t="shared" si="94"/>
        <v>4.7291487532244193E-2</v>
      </c>
      <c r="K83" s="8" t="str">
        <f t="shared" si="90"/>
        <v>MUY BAJO</v>
      </c>
      <c r="L83" s="7"/>
      <c r="M83" s="8"/>
      <c r="N83" s="7"/>
      <c r="O83" s="8"/>
      <c r="P83" s="31"/>
      <c r="Q83" s="31"/>
      <c r="R83" s="31"/>
      <c r="S83" s="31"/>
      <c r="T83" s="31"/>
    </row>
    <row r="84" spans="1:22" s="11" customFormat="1" ht="28.15" customHeight="1" x14ac:dyDescent="0.25">
      <c r="A84" s="59"/>
      <c r="B84" s="52" t="str">
        <f>[2]SP!$A$25</f>
        <v>SP-PY.2.6 Operación y desarrollo del Centro de Conciliación</v>
      </c>
      <c r="C84" s="52"/>
      <c r="D84" s="6" t="str">
        <f>[2]SP!D29</f>
        <v>No. consultas</v>
      </c>
      <c r="E84" s="6">
        <f>+[1]SP!B29</f>
        <v>518</v>
      </c>
      <c r="F84" s="6">
        <f>+[1]SP!C29</f>
        <v>2072</v>
      </c>
      <c r="G84" s="5">
        <f t="shared" si="99"/>
        <v>1554</v>
      </c>
      <c r="H84" s="6">
        <v>2590</v>
      </c>
      <c r="I84" s="30">
        <f>+'[1]METAS SP'!K20+'[1]METAS SP'!Q20</f>
        <v>528</v>
      </c>
      <c r="J84" s="7">
        <f t="shared" si="94"/>
        <v>0.20386100386100386</v>
      </c>
      <c r="K84" s="8" t="str">
        <f t="shared" si="90"/>
        <v>BAJO</v>
      </c>
      <c r="L84" s="7"/>
      <c r="M84" s="8"/>
      <c r="N84" s="7"/>
      <c r="O84" s="8"/>
      <c r="P84" s="31"/>
      <c r="Q84" s="31"/>
      <c r="R84" s="31"/>
      <c r="S84" s="31"/>
      <c r="T84" s="31"/>
    </row>
    <row r="85" spans="1:22" s="11" customFormat="1" ht="28.15" customHeight="1" x14ac:dyDescent="0.25">
      <c r="A85" s="59"/>
      <c r="B85" s="52" t="str">
        <f>[2]SP!$A$30</f>
        <v xml:space="preserve">SP-PY.2.7 Operación y desarrollo  del Consultorio Jurídico. </v>
      </c>
      <c r="C85" s="52"/>
      <c r="D85" s="6" t="str">
        <f>[2]SP!D30</f>
        <v>No. de asesorias</v>
      </c>
      <c r="E85" s="6">
        <f>+[1]SP!B30</f>
        <v>7100</v>
      </c>
      <c r="F85" s="6">
        <f>+[1]SP!C30</f>
        <v>11434</v>
      </c>
      <c r="G85" s="5">
        <f t="shared" si="99"/>
        <v>4334</v>
      </c>
      <c r="H85" s="6">
        <v>16401</v>
      </c>
      <c r="I85" s="30">
        <f>+'[1]METAS SP'!K21+'[1]METAS SP'!Q21</f>
        <v>974</v>
      </c>
      <c r="J85" s="7">
        <f t="shared" si="94"/>
        <v>5.9386622766904457E-2</v>
      </c>
      <c r="K85" s="8" t="str">
        <f t="shared" si="90"/>
        <v>MUY BAJO</v>
      </c>
      <c r="L85" s="7">
        <f t="shared" si="95"/>
        <v>0.19631901840490798</v>
      </c>
      <c r="M85" s="8" t="str">
        <f t="shared" si="91"/>
        <v>MUY BAJO</v>
      </c>
      <c r="N85" s="7">
        <f t="shared" si="96"/>
        <v>1.1658723487981243E-2</v>
      </c>
      <c r="O85" s="8" t="str">
        <f t="shared" si="92"/>
        <v>MUY BAJO</v>
      </c>
      <c r="P85" s="9">
        <f t="shared" ref="P85" si="105">+S85+T85</f>
        <v>64</v>
      </c>
      <c r="Q85" s="9">
        <f>([1]SP!F30+[1]SP!H30)/1000000</f>
        <v>326</v>
      </c>
      <c r="R85" s="9">
        <f t="shared" ref="R85" si="106">+Q85-P85</f>
        <v>262</v>
      </c>
      <c r="S85" s="9">
        <f>ROUND([1]EV.ACCIONES.aux!M60/1000000*$S$187/$S$188,0)-V85</f>
        <v>0</v>
      </c>
      <c r="T85" s="9">
        <f t="shared" ref="T85" si="107">+U85+V85</f>
        <v>64</v>
      </c>
      <c r="U85" s="11">
        <f>ROUND([2]EV_ACCIONES!$I60/1000000*$S$187/$S$188,0)</f>
        <v>40</v>
      </c>
      <c r="V85" s="11">
        <f>ROUND([3]EV.ACCIONES.aux!$M60/1000000*$S$187/$S$188,0)</f>
        <v>24</v>
      </c>
    </row>
    <row r="86" spans="1:22" s="11" customFormat="1" ht="28.15" customHeight="1" x14ac:dyDescent="0.25">
      <c r="A86" s="59"/>
      <c r="B86" s="52" t="str">
        <f>[2]SP!$A$30</f>
        <v xml:space="preserve">SP-PY.2.7 Operación y desarrollo  del Consultorio Jurídico. </v>
      </c>
      <c r="C86" s="52"/>
      <c r="D86" s="6" t="str">
        <f>[2]SP!D31</f>
        <v>No. de acompañamientos</v>
      </c>
      <c r="E86" s="6">
        <f>+[1]SP!B31</f>
        <v>1100</v>
      </c>
      <c r="F86" s="6">
        <f>+[1]SP!C31</f>
        <v>1771</v>
      </c>
      <c r="G86" s="5">
        <f t="shared" si="99"/>
        <v>671</v>
      </c>
      <c r="H86" s="6">
        <v>2541</v>
      </c>
      <c r="I86" s="30">
        <f>+'[1]METAS SP'!K22+'[1]METAS SP'!Q22</f>
        <v>993</v>
      </c>
      <c r="J86" s="7">
        <f t="shared" si="94"/>
        <v>0.39079102715466352</v>
      </c>
      <c r="K86" s="8" t="str">
        <f t="shared" si="90"/>
        <v>BAJO</v>
      </c>
      <c r="L86" s="7"/>
      <c r="M86" s="8"/>
      <c r="N86" s="7"/>
      <c r="O86" s="8"/>
      <c r="P86" s="31"/>
      <c r="Q86" s="31"/>
      <c r="R86" s="31"/>
      <c r="S86" s="31"/>
      <c r="T86" s="31"/>
    </row>
    <row r="87" spans="1:22" s="11" customFormat="1" ht="28.15" customHeight="1" x14ac:dyDescent="0.25">
      <c r="A87" s="59"/>
      <c r="B87" s="52" t="str">
        <f>[2]SP!$A$32</f>
        <v>SP-PY.2.8 Unidad de desarrollo de software y contenidos digitales</v>
      </c>
      <c r="C87" s="52"/>
      <c r="D87" s="6" t="str">
        <f>[2]SP!D32</f>
        <v># aplicativos institucionales</v>
      </c>
      <c r="E87" s="6">
        <f>+[1]SP!B32</f>
        <v>0</v>
      </c>
      <c r="F87" s="6">
        <f>+[1]SP!C32</f>
        <v>2</v>
      </c>
      <c r="G87" s="5">
        <f t="shared" si="99"/>
        <v>2</v>
      </c>
      <c r="H87" s="6">
        <v>2</v>
      </c>
      <c r="I87" s="30">
        <f>+'[1]METAS SP'!K23+'[1]METAS SP'!Q23</f>
        <v>2</v>
      </c>
      <c r="J87" s="7">
        <f t="shared" si="94"/>
        <v>1</v>
      </c>
      <c r="K87" s="8" t="str">
        <f t="shared" si="90"/>
        <v>MUY ALTO</v>
      </c>
      <c r="L87" s="7">
        <f t="shared" si="95"/>
        <v>0.96052631578947367</v>
      </c>
      <c r="M87" s="8" t="str">
        <f t="shared" si="91"/>
        <v>MUY ALTO</v>
      </c>
      <c r="N87" s="7">
        <f t="shared" si="96"/>
        <v>0.96052631578947367</v>
      </c>
      <c r="O87" s="8" t="str">
        <f t="shared" si="92"/>
        <v>MUY ALTO</v>
      </c>
      <c r="P87" s="9">
        <f t="shared" ref="P87" si="108">+S87+T87</f>
        <v>73</v>
      </c>
      <c r="Q87" s="9">
        <f>([1]SP!F32+[1]SP!H32)/1000000</f>
        <v>76</v>
      </c>
      <c r="R87" s="9">
        <f t="shared" ref="R87" si="109">+Q87-P87</f>
        <v>3</v>
      </c>
      <c r="S87" s="9">
        <f>ROUND([1]EV.ACCIONES.aux!M61/1000000*$S$187/$S$188,0)-V87</f>
        <v>19</v>
      </c>
      <c r="T87" s="9">
        <f t="shared" ref="T87" si="110">+U87+V87</f>
        <v>54</v>
      </c>
      <c r="U87" s="11">
        <f>ROUND([2]EV_ACCIONES!$I61/1000000*$S$187/$S$188,0)</f>
        <v>35</v>
      </c>
      <c r="V87" s="11">
        <f>ROUND([3]EV.ACCIONES.aux!$M61/1000000*$S$187/$S$188,0)</f>
        <v>19</v>
      </c>
    </row>
    <row r="88" spans="1:22" s="11" customFormat="1" ht="28.15" customHeight="1" x14ac:dyDescent="0.25">
      <c r="A88" s="59"/>
      <c r="B88" s="52" t="str">
        <f>[2]SP!$A$32</f>
        <v>SP-PY.2.8 Unidad de desarrollo de software y contenidos digitales</v>
      </c>
      <c r="C88" s="52"/>
      <c r="D88" s="6" t="str">
        <f>[2]SP!D33</f>
        <v># cursos con contenido digital</v>
      </c>
      <c r="E88" s="6">
        <f>+[1]SP!B33</f>
        <v>0</v>
      </c>
      <c r="F88" s="6">
        <f>+[1]SP!C33</f>
        <v>1</v>
      </c>
      <c r="G88" s="5">
        <f t="shared" si="99"/>
        <v>1</v>
      </c>
      <c r="H88" s="6">
        <v>1</v>
      </c>
      <c r="I88" s="30">
        <f>+'[1]METAS SP'!K24+'[1]METAS SP'!Q24</f>
        <v>2</v>
      </c>
      <c r="J88" s="7">
        <f t="shared" si="94"/>
        <v>2</v>
      </c>
      <c r="K88" s="8" t="str">
        <f t="shared" si="90"/>
        <v>MUY ALTO</v>
      </c>
      <c r="L88" s="7"/>
      <c r="M88" s="8"/>
      <c r="N88" s="7"/>
      <c r="O88" s="8"/>
      <c r="P88" s="31"/>
      <c r="Q88" s="31"/>
      <c r="R88" s="31"/>
      <c r="S88" s="31"/>
      <c r="T88" s="31"/>
    </row>
    <row r="89" spans="1:22" s="11" customFormat="1" ht="28.15" customHeight="1" x14ac:dyDescent="0.25">
      <c r="A89" s="59"/>
      <c r="B89" s="52" t="str">
        <f>[2]SP!$A$32</f>
        <v>SP-PY.2.8 Unidad de desarrollo de software y contenidos digitales</v>
      </c>
      <c r="C89" s="52"/>
      <c r="D89" s="6" t="str">
        <f>[2]SP!D34</f>
        <v># estudiantes capacitados en contenidos digitales</v>
      </c>
      <c r="E89" s="6">
        <f>+[1]SP!B34</f>
        <v>0</v>
      </c>
      <c r="F89" s="6">
        <f>+[1]SP!C34</f>
        <v>300</v>
      </c>
      <c r="G89" s="5">
        <f t="shared" si="99"/>
        <v>300</v>
      </c>
      <c r="H89" s="6">
        <v>300</v>
      </c>
      <c r="I89" s="30">
        <f>+'[1]METAS SP'!K25+'[1]METAS SP'!Q25</f>
        <v>222</v>
      </c>
      <c r="J89" s="7">
        <f t="shared" si="94"/>
        <v>0.74</v>
      </c>
      <c r="K89" s="8" t="str">
        <f t="shared" si="90"/>
        <v>ALTO</v>
      </c>
      <c r="L89" s="7"/>
      <c r="M89" s="8"/>
      <c r="N89" s="7"/>
      <c r="O89" s="8"/>
      <c r="P89" s="31"/>
      <c r="Q89" s="31"/>
      <c r="R89" s="31"/>
      <c r="S89" s="31"/>
      <c r="T89" s="31"/>
    </row>
    <row r="90" spans="1:22" s="11" customFormat="1" ht="28.15" customHeight="1" x14ac:dyDescent="0.25">
      <c r="A90" s="59"/>
      <c r="B90" s="52" t="str">
        <f>[2]SP!$A$32</f>
        <v>SP-PY.2.8 Unidad de desarrollo de software y contenidos digitales</v>
      </c>
      <c r="C90" s="52"/>
      <c r="D90" s="6" t="str">
        <f>[2]SP!D35</f>
        <v># eventos en TIC</v>
      </c>
      <c r="E90" s="6">
        <f>+[1]SP!B35</f>
        <v>0</v>
      </c>
      <c r="F90" s="6">
        <f>+[1]SP!C35</f>
        <v>2</v>
      </c>
      <c r="G90" s="5">
        <f t="shared" si="99"/>
        <v>2</v>
      </c>
      <c r="H90" s="6">
        <v>2</v>
      </c>
      <c r="I90" s="30">
        <f>+'[1]METAS SP'!K26+'[1]METAS SP'!Q26</f>
        <v>0</v>
      </c>
      <c r="J90" s="7">
        <f t="shared" si="94"/>
        <v>0</v>
      </c>
      <c r="K90" s="8" t="str">
        <f t="shared" si="90"/>
        <v>MUY BAJO</v>
      </c>
      <c r="L90" s="7"/>
      <c r="M90" s="8"/>
      <c r="N90" s="7"/>
      <c r="O90" s="8"/>
      <c r="P90" s="31"/>
      <c r="Q90" s="31"/>
      <c r="R90" s="31"/>
      <c r="S90" s="31"/>
      <c r="T90" s="31"/>
    </row>
    <row r="91" spans="1:22" ht="28.15" customHeight="1" thickBot="1" x14ac:dyDescent="0.3">
      <c r="A91" s="59"/>
      <c r="B91" s="53" t="s">
        <v>33</v>
      </c>
      <c r="C91" s="53"/>
      <c r="D91" s="23"/>
      <c r="E91" s="23"/>
      <c r="F91" s="23"/>
      <c r="G91" s="23"/>
      <c r="H91" s="23"/>
      <c r="I91" s="23"/>
      <c r="J91" s="24">
        <f>AVERAGE(J70:J90)</f>
        <v>4.3319949919965222</v>
      </c>
      <c r="K91" s="8" t="str">
        <f t="shared" si="90"/>
        <v>MUY ALTO</v>
      </c>
      <c r="L91" s="24">
        <f>AVERAGE(L70:L90)</f>
        <v>0.37025043966690274</v>
      </c>
      <c r="M91" s="8" t="str">
        <f t="shared" si="91"/>
        <v>BAJO</v>
      </c>
      <c r="N91" s="24">
        <f>AVERAGE(N70:N90)</f>
        <v>4.259782560250212</v>
      </c>
      <c r="O91" s="8" t="str">
        <f t="shared" si="92"/>
        <v>MUY ALTO</v>
      </c>
      <c r="P91" s="14">
        <f>SUM(P70:P90)</f>
        <v>619</v>
      </c>
      <c r="Q91" s="14">
        <f>SUM(Q70:Q90)</f>
        <v>2052.8247499999998</v>
      </c>
      <c r="R91" s="14">
        <f t="shared" ref="R91:T91" si="111">SUM(R70:R90)</f>
        <v>1433.82475</v>
      </c>
      <c r="S91" s="14">
        <f t="shared" si="111"/>
        <v>51</v>
      </c>
      <c r="T91" s="14">
        <f t="shared" si="111"/>
        <v>568</v>
      </c>
    </row>
    <row r="92" spans="1:22" s="11" customFormat="1" ht="28.15" customHeight="1" x14ac:dyDescent="0.25">
      <c r="A92" s="59"/>
      <c r="B92" s="52" t="str">
        <f>[2]SP!$A$41</f>
        <v>SP-PY.3.1 Proyectos de Proyeccion Social</v>
      </c>
      <c r="C92" s="52"/>
      <c r="D92" s="6" t="str">
        <f>[2]SP!D41</f>
        <v># Macroproyectos</v>
      </c>
      <c r="E92" s="6">
        <f>+[1]SP!B41</f>
        <v>4</v>
      </c>
      <c r="F92" s="6">
        <f>+[1]SP!C41</f>
        <v>9</v>
      </c>
      <c r="G92" s="5">
        <f t="shared" ref="G92:G105" si="112">+F92-E92</f>
        <v>5</v>
      </c>
      <c r="H92" s="6">
        <v>15</v>
      </c>
      <c r="I92" s="30">
        <f>+'[1]METAS SP'!K27+'[1]METAS SP'!Q27</f>
        <v>8</v>
      </c>
      <c r="J92" s="7">
        <f t="shared" ref="J92:J105" si="113">+I92/H92</f>
        <v>0.53333333333333333</v>
      </c>
      <c r="K92" s="8" t="str">
        <f t="shared" si="90"/>
        <v>MEDIO</v>
      </c>
      <c r="L92" s="7">
        <f t="shared" ref="L92:L105" si="114">+P92/Q92</f>
        <v>2.4981818181818181</v>
      </c>
      <c r="M92" s="8" t="str">
        <f t="shared" si="91"/>
        <v>MUY ALTO</v>
      </c>
      <c r="N92" s="7">
        <f t="shared" ref="N92:N105" si="115">+J92*L92</f>
        <v>1.3323636363636362</v>
      </c>
      <c r="O92" s="8" t="str">
        <f t="shared" si="92"/>
        <v>MUY ALTO</v>
      </c>
      <c r="P92" s="9">
        <f t="shared" ref="P92:P95" si="116">+S92+T92</f>
        <v>1374</v>
      </c>
      <c r="Q92" s="9">
        <f>([1]SP!F41+[1]SP!H41)/1000000</f>
        <v>550</v>
      </c>
      <c r="R92" s="9">
        <f t="shared" ref="R92:R95" si="117">+Q92-P92</f>
        <v>-824</v>
      </c>
      <c r="S92" s="9">
        <f>ROUND([1]EV.ACCIONES.aux!M62/1000000*$S$187/$S$188,0)-V92</f>
        <v>186</v>
      </c>
      <c r="T92" s="9">
        <f t="shared" ref="T92" si="118">+U92+V92</f>
        <v>1188</v>
      </c>
      <c r="U92" s="11">
        <f>ROUND([2]EV_ACCIONES!$I62/1000000*$S$187/$S$188,0)</f>
        <v>861</v>
      </c>
      <c r="V92" s="11">
        <f>ROUND([3]EV.ACCIONES.aux!$M62/1000000*$S$187/$S$188,0)</f>
        <v>327</v>
      </c>
    </row>
    <row r="93" spans="1:22" s="11" customFormat="1" ht="28.15" customHeight="1" x14ac:dyDescent="0.25">
      <c r="A93" s="59"/>
      <c r="B93" s="52" t="str">
        <f>[2]SP!$A$41</f>
        <v>SP-PY.3.1 Proyectos de Proyeccion Social</v>
      </c>
      <c r="C93" s="52"/>
      <c r="D93" s="6" t="str">
        <f>[2]SP!D42</f>
        <v># Proyectos por convocatorias</v>
      </c>
      <c r="E93" s="6">
        <f>+[1]SP!B42</f>
        <v>46</v>
      </c>
      <c r="F93" s="6">
        <f>+[1]SP!C42</f>
        <v>76</v>
      </c>
      <c r="G93" s="5">
        <f t="shared" si="112"/>
        <v>30</v>
      </c>
      <c r="H93" s="6">
        <v>152</v>
      </c>
      <c r="I93" s="30">
        <f>+'[1]METAS SP'!K28+'[1]METAS SP'!Q28</f>
        <v>0</v>
      </c>
      <c r="J93" s="7">
        <f t="shared" si="113"/>
        <v>0</v>
      </c>
      <c r="K93" s="8" t="str">
        <f t="shared" si="90"/>
        <v>MUY BAJO</v>
      </c>
      <c r="L93" s="7">
        <f t="shared" si="114"/>
        <v>0</v>
      </c>
      <c r="M93" s="8" t="str">
        <f t="shared" si="91"/>
        <v>MUY BAJO</v>
      </c>
      <c r="N93" s="7">
        <f t="shared" si="115"/>
        <v>0</v>
      </c>
      <c r="O93" s="8" t="str">
        <f t="shared" si="92"/>
        <v>MUY BAJO</v>
      </c>
      <c r="P93" s="9">
        <f t="shared" si="116"/>
        <v>0</v>
      </c>
      <c r="Q93" s="9">
        <f>([1]SP!F42+[1]SP!H42)/1000000</f>
        <v>600</v>
      </c>
      <c r="R93" s="9">
        <f t="shared" si="117"/>
        <v>600</v>
      </c>
      <c r="S93" s="9"/>
      <c r="T93" s="9"/>
    </row>
    <row r="94" spans="1:22" s="11" customFormat="1" ht="28.15" customHeight="1" x14ac:dyDescent="0.25">
      <c r="A94" s="59"/>
      <c r="B94" s="52" t="str">
        <f>[2]SP!$A$41</f>
        <v>SP-PY.3.1 Proyectos de Proyeccion Social</v>
      </c>
      <c r="C94" s="52"/>
      <c r="D94" s="6" t="str">
        <f>[2]SP!D43</f>
        <v># Proyectos de responsabilidad social universitaria</v>
      </c>
      <c r="E94" s="6">
        <f>+[1]SP!B43</f>
        <v>67</v>
      </c>
      <c r="F94" s="6">
        <f>+[1]SP!C43</f>
        <v>67</v>
      </c>
      <c r="G94" s="5">
        <f t="shared" si="112"/>
        <v>0</v>
      </c>
      <c r="H94" s="6">
        <v>134</v>
      </c>
      <c r="I94" s="30">
        <f>+'[1]METAS SP'!K29+'[1]METAS SP'!Q29</f>
        <v>76</v>
      </c>
      <c r="J94" s="7">
        <f t="shared" si="113"/>
        <v>0.56716417910447758</v>
      </c>
      <c r="K94" s="8" t="str">
        <f t="shared" si="90"/>
        <v>MEDIO</v>
      </c>
      <c r="L94" s="7">
        <f t="shared" si="114"/>
        <v>0</v>
      </c>
      <c r="M94" s="8" t="str">
        <f t="shared" si="91"/>
        <v>MUY BAJO</v>
      </c>
      <c r="N94" s="7">
        <f t="shared" si="115"/>
        <v>0</v>
      </c>
      <c r="O94" s="8" t="str">
        <f t="shared" si="92"/>
        <v>MUY BAJO</v>
      </c>
      <c r="P94" s="9">
        <f t="shared" si="116"/>
        <v>0</v>
      </c>
      <c r="Q94" s="9">
        <f>([1]SP!F43+[1]SP!H43)/1000000</f>
        <v>400</v>
      </c>
      <c r="R94" s="9">
        <f t="shared" si="117"/>
        <v>400</v>
      </c>
      <c r="S94" s="9"/>
      <c r="T94" s="9"/>
    </row>
    <row r="95" spans="1:22" s="11" customFormat="1" ht="28.15" customHeight="1" x14ac:dyDescent="0.25">
      <c r="A95" s="59"/>
      <c r="B95" s="52" t="str">
        <f>[2]SP!$A$44</f>
        <v>SP-PY.3.2 Formación continuada</v>
      </c>
      <c r="C95" s="52"/>
      <c r="D95" s="6" t="str">
        <f>[2]SP!D44</f>
        <v># Diplomados</v>
      </c>
      <c r="E95" s="6">
        <f>+[1]SP!B44</f>
        <v>29</v>
      </c>
      <c r="F95" s="6">
        <f>+[1]SP!C44</f>
        <v>105</v>
      </c>
      <c r="G95" s="5">
        <f t="shared" si="112"/>
        <v>76</v>
      </c>
      <c r="H95" s="6">
        <v>28</v>
      </c>
      <c r="I95" s="30">
        <f>+'[1]METAS SP'!K30+'[1]METAS SP'!Q30</f>
        <v>0</v>
      </c>
      <c r="J95" s="7">
        <f t="shared" si="113"/>
        <v>0</v>
      </c>
      <c r="K95" s="8" t="str">
        <f t="shared" si="90"/>
        <v>MUY BAJO</v>
      </c>
      <c r="L95" s="7">
        <f t="shared" si="114"/>
        <v>0</v>
      </c>
      <c r="M95" s="8" t="str">
        <f t="shared" si="91"/>
        <v>MUY BAJO</v>
      </c>
      <c r="N95" s="7">
        <f t="shared" si="115"/>
        <v>0</v>
      </c>
      <c r="O95" s="8" t="str">
        <f t="shared" si="92"/>
        <v>MUY BAJO</v>
      </c>
      <c r="P95" s="9">
        <f t="shared" si="116"/>
        <v>0</v>
      </c>
      <c r="Q95" s="9">
        <f>([1]SP!F44+[1]SP!H44)/1000000</f>
        <v>700</v>
      </c>
      <c r="R95" s="9">
        <f t="shared" si="117"/>
        <v>700</v>
      </c>
      <c r="S95" s="9">
        <f>ROUND([1]EV.ACCIONES.aux!M63/1000000*$S$187/$S$188,0)-V95</f>
        <v>0</v>
      </c>
      <c r="T95" s="9">
        <f t="shared" ref="T95" si="119">+U95+V95</f>
        <v>0</v>
      </c>
      <c r="U95" s="11">
        <f>ROUND([2]EV_ACCIONES!$I63/1000000*$S$187/$S$188,0)</f>
        <v>0</v>
      </c>
      <c r="V95" s="11">
        <f>ROUND([3]EV.ACCIONES.aux!$M63/1000000*$S$187/$S$188,0)</f>
        <v>0</v>
      </c>
    </row>
    <row r="96" spans="1:22" s="11" customFormat="1" ht="28.15" customHeight="1" x14ac:dyDescent="0.25">
      <c r="A96" s="59"/>
      <c r="B96" s="52" t="str">
        <f>[2]SP!$A$44</f>
        <v>SP-PY.3.2 Formación continuada</v>
      </c>
      <c r="C96" s="52"/>
      <c r="D96" s="6" t="str">
        <f>[2]SP!D45</f>
        <v># Asistentes diplomados</v>
      </c>
      <c r="E96" s="6">
        <f>+[1]SP!B45</f>
        <v>0</v>
      </c>
      <c r="F96" s="6">
        <f>+[1]SP!C45</f>
        <v>2280</v>
      </c>
      <c r="G96" s="5">
        <f t="shared" si="112"/>
        <v>2280</v>
      </c>
      <c r="H96" s="6">
        <v>840</v>
      </c>
      <c r="I96" s="30">
        <f>+'[1]METAS SP'!K31+'[1]METAS SP'!Q31</f>
        <v>0</v>
      </c>
      <c r="J96" s="7">
        <f t="shared" si="113"/>
        <v>0</v>
      </c>
      <c r="K96" s="8" t="str">
        <f t="shared" si="90"/>
        <v>MUY BAJO</v>
      </c>
      <c r="L96" s="7"/>
      <c r="M96" s="8"/>
      <c r="N96" s="7"/>
      <c r="O96" s="8"/>
      <c r="P96" s="31"/>
      <c r="Q96" s="31"/>
      <c r="R96" s="31"/>
      <c r="S96" s="31"/>
      <c r="T96" s="31"/>
    </row>
    <row r="97" spans="1:22" s="11" customFormat="1" ht="28.15" customHeight="1" x14ac:dyDescent="0.25">
      <c r="A97" s="59"/>
      <c r="B97" s="52" t="str">
        <f>[2]SP!$A$44</f>
        <v>SP-PY.3.2 Formación continuada</v>
      </c>
      <c r="C97" s="52"/>
      <c r="D97" s="6" t="str">
        <f>[2]SP!D46</f>
        <v># Cursos y talleres</v>
      </c>
      <c r="E97" s="6">
        <f>+[1]SP!B46</f>
        <v>92</v>
      </c>
      <c r="F97" s="6">
        <f>+[1]SP!C46</f>
        <v>204</v>
      </c>
      <c r="G97" s="5">
        <f t="shared" si="112"/>
        <v>112</v>
      </c>
      <c r="H97" s="6">
        <v>40</v>
      </c>
      <c r="I97" s="30">
        <f>+'[1]METAS SP'!K32+'[1]METAS SP'!Q32</f>
        <v>6</v>
      </c>
      <c r="J97" s="7">
        <f t="shared" si="113"/>
        <v>0.15</v>
      </c>
      <c r="K97" s="8" t="str">
        <f t="shared" si="90"/>
        <v>MUY BAJO</v>
      </c>
      <c r="L97" s="7">
        <f t="shared" si="114"/>
        <v>0</v>
      </c>
      <c r="M97" s="8" t="str">
        <f t="shared" si="91"/>
        <v>MUY BAJO</v>
      </c>
      <c r="N97" s="7">
        <f t="shared" si="115"/>
        <v>0</v>
      </c>
      <c r="O97" s="8" t="str">
        <f t="shared" si="92"/>
        <v>MUY BAJO</v>
      </c>
      <c r="P97" s="9">
        <f t="shared" ref="P97" si="120">+S97+T97</f>
        <v>0</v>
      </c>
      <c r="Q97" s="9">
        <f>([1]SP!F46+[1]SP!H46)/1000000</f>
        <v>600</v>
      </c>
      <c r="R97" s="9">
        <f t="shared" ref="R97" si="121">+Q97-P97</f>
        <v>600</v>
      </c>
      <c r="S97" s="9"/>
      <c r="T97" s="9"/>
    </row>
    <row r="98" spans="1:22" s="11" customFormat="1" ht="28.15" customHeight="1" x14ac:dyDescent="0.25">
      <c r="A98" s="59"/>
      <c r="B98" s="52" t="str">
        <f>[2]SP!$A$44</f>
        <v>SP-PY.3.2 Formación continuada</v>
      </c>
      <c r="C98" s="52"/>
      <c r="D98" s="6" t="str">
        <f>[2]SP!D47</f>
        <v># Asistentes cursos</v>
      </c>
      <c r="E98" s="6">
        <f>+[1]SP!B47</f>
        <v>0</v>
      </c>
      <c r="F98" s="6">
        <f>+[1]SP!C47</f>
        <v>4070</v>
      </c>
      <c r="G98" s="5">
        <f t="shared" si="112"/>
        <v>4070</v>
      </c>
      <c r="H98" s="6">
        <v>1501</v>
      </c>
      <c r="I98" s="30">
        <f>+'[1]METAS SP'!K33+'[1]METAS SP'!Q33</f>
        <v>0</v>
      </c>
      <c r="J98" s="7">
        <f t="shared" si="113"/>
        <v>0</v>
      </c>
      <c r="K98" s="8" t="str">
        <f t="shared" si="90"/>
        <v>MUY BAJO</v>
      </c>
      <c r="L98" s="7"/>
      <c r="M98" s="8"/>
      <c r="N98" s="7"/>
      <c r="O98" s="8"/>
      <c r="P98" s="31"/>
      <c r="Q98" s="31"/>
      <c r="R98" s="31"/>
      <c r="S98" s="31"/>
      <c r="T98" s="31"/>
    </row>
    <row r="99" spans="1:22" s="11" customFormat="1" ht="28.15" customHeight="1" x14ac:dyDescent="0.25">
      <c r="A99" s="59"/>
      <c r="B99" s="52" t="str">
        <f>[2]SP!$A$44</f>
        <v>SP-PY.3.2 Formación continuada</v>
      </c>
      <c r="C99" s="52"/>
      <c r="D99" s="6" t="str">
        <f>[2]SP!D48</f>
        <v># Seminarios</v>
      </c>
      <c r="E99" s="6">
        <f>+[1]SP!B48</f>
        <v>37</v>
      </c>
      <c r="F99" s="6">
        <f>+[1]SP!C48</f>
        <v>111</v>
      </c>
      <c r="G99" s="5">
        <f t="shared" si="112"/>
        <v>74</v>
      </c>
      <c r="H99" s="6">
        <v>23</v>
      </c>
      <c r="I99" s="30">
        <f>+'[1]METAS SP'!K34+'[1]METAS SP'!Q34</f>
        <v>5</v>
      </c>
      <c r="J99" s="7">
        <f t="shared" si="113"/>
        <v>0.21739130434782608</v>
      </c>
      <c r="K99" s="8" t="str">
        <f t="shared" si="90"/>
        <v>BAJO</v>
      </c>
      <c r="L99" s="7">
        <f t="shared" si="114"/>
        <v>0</v>
      </c>
      <c r="M99" s="8" t="str">
        <f t="shared" si="91"/>
        <v>MUY BAJO</v>
      </c>
      <c r="N99" s="7">
        <f t="shared" si="115"/>
        <v>0</v>
      </c>
      <c r="O99" s="8" t="str">
        <f t="shared" si="92"/>
        <v>MUY BAJO</v>
      </c>
      <c r="P99" s="9">
        <f t="shared" ref="P99" si="122">+S99+T99</f>
        <v>0</v>
      </c>
      <c r="Q99" s="9">
        <f>([1]SP!F48+[1]SP!H48)/1000000</f>
        <v>529</v>
      </c>
      <c r="R99" s="9">
        <f t="shared" ref="R99" si="123">+Q99-P99</f>
        <v>529</v>
      </c>
      <c r="S99" s="31"/>
      <c r="T99" s="31"/>
    </row>
    <row r="100" spans="1:22" s="11" customFormat="1" ht="28.15" customHeight="1" x14ac:dyDescent="0.25">
      <c r="A100" s="59"/>
      <c r="B100" s="52" t="str">
        <f>[2]SP!$A$44</f>
        <v>SP-PY.3.2 Formación continuada</v>
      </c>
      <c r="C100" s="52"/>
      <c r="D100" s="6" t="str">
        <f>[2]SP!D49</f>
        <v># Asistentes Seminarios</v>
      </c>
      <c r="E100" s="6">
        <f>+[1]SP!B49</f>
        <v>0</v>
      </c>
      <c r="F100" s="6">
        <f>+[1]SP!C49</f>
        <v>7930</v>
      </c>
      <c r="G100" s="5">
        <f t="shared" si="112"/>
        <v>7930</v>
      </c>
      <c r="H100" s="6">
        <v>2773</v>
      </c>
      <c r="I100" s="30">
        <f>+'[1]METAS SP'!K35+'[1]METAS SP'!Q35</f>
        <v>0</v>
      </c>
      <c r="J100" s="7">
        <f t="shared" si="113"/>
        <v>0</v>
      </c>
      <c r="K100" s="8" t="str">
        <f t="shared" si="90"/>
        <v>MUY BAJO</v>
      </c>
      <c r="L100" s="7"/>
      <c r="M100" s="8"/>
      <c r="N100" s="7"/>
      <c r="O100" s="8"/>
      <c r="P100" s="31"/>
      <c r="Q100" s="31"/>
      <c r="R100" s="31"/>
      <c r="S100" s="31"/>
      <c r="T100" s="31"/>
    </row>
    <row r="101" spans="1:22" s="11" customFormat="1" ht="28.15" customHeight="1" x14ac:dyDescent="0.25">
      <c r="A101" s="59"/>
      <c r="B101" s="52" t="str">
        <f>[2]SP!A50</f>
        <v xml:space="preserve">SP-PY.3.3 Eventos de Proyección Social </v>
      </c>
      <c r="C101" s="52"/>
      <c r="D101" s="6" t="str">
        <f>[2]SP!D50</f>
        <v># Eventos</v>
      </c>
      <c r="E101" s="6">
        <f>+[1]SP!B50</f>
        <v>87</v>
      </c>
      <c r="F101" s="6">
        <f>+[1]SP!C50</f>
        <v>192</v>
      </c>
      <c r="G101" s="5">
        <f t="shared" si="112"/>
        <v>105</v>
      </c>
      <c r="H101" s="6">
        <v>42</v>
      </c>
      <c r="I101" s="30">
        <f>+'[1]METAS SP'!K36+'[1]METAS SP'!Q36</f>
        <v>34</v>
      </c>
      <c r="J101" s="7">
        <f t="shared" si="113"/>
        <v>0.80952380952380953</v>
      </c>
      <c r="K101" s="8" t="str">
        <f t="shared" si="90"/>
        <v>MUY ALTO</v>
      </c>
      <c r="L101" s="7">
        <f t="shared" si="114"/>
        <v>8.3333333333333329E-2</v>
      </c>
      <c r="M101" s="8" t="str">
        <f t="shared" si="91"/>
        <v>MUY BAJO</v>
      </c>
      <c r="N101" s="7">
        <f t="shared" si="115"/>
        <v>6.7460317460317457E-2</v>
      </c>
      <c r="O101" s="8" t="str">
        <f t="shared" si="92"/>
        <v>MUY BAJO</v>
      </c>
      <c r="P101" s="9">
        <f t="shared" ref="P101" si="124">+S101+T101</f>
        <v>70</v>
      </c>
      <c r="Q101" s="9">
        <f>([1]SP!F50+[1]SP!H50)/1000000</f>
        <v>840</v>
      </c>
      <c r="R101" s="9">
        <f t="shared" ref="R101" si="125">+Q101-P101</f>
        <v>770</v>
      </c>
      <c r="S101" s="9">
        <f>ROUND([1]EV.ACCIONES.aux!M64/1000000*$S$187/$S$188,0)-V101</f>
        <v>0</v>
      </c>
      <c r="T101" s="9">
        <f t="shared" ref="T101" si="126">+U101+V101</f>
        <v>70</v>
      </c>
      <c r="U101" s="11">
        <f>ROUND([2]EV_ACCIONES!$I64/1000000*$S$187/$S$188,0)</f>
        <v>54</v>
      </c>
      <c r="V101" s="11">
        <f>ROUND([3]EV.ACCIONES.aux!$M64/1000000*$S$187/$S$188,0)</f>
        <v>16</v>
      </c>
    </row>
    <row r="102" spans="1:22" s="11" customFormat="1" ht="28.15" customHeight="1" x14ac:dyDescent="0.25">
      <c r="A102" s="59"/>
      <c r="B102" s="52" t="str">
        <f>[2]SP!A50</f>
        <v xml:space="preserve">SP-PY.3.3 Eventos de Proyección Social </v>
      </c>
      <c r="C102" s="52"/>
      <c r="D102" s="6" t="str">
        <f>[2]SP!D51</f>
        <v># Asistentes a Eventos</v>
      </c>
      <c r="E102" s="6">
        <f>+[1]SP!B51</f>
        <v>0</v>
      </c>
      <c r="F102" s="6">
        <f>+[1]SP!C51</f>
        <v>22530</v>
      </c>
      <c r="G102" s="5">
        <f t="shared" si="112"/>
        <v>22530</v>
      </c>
      <c r="H102" s="6">
        <v>9012</v>
      </c>
      <c r="I102" s="30">
        <f>+'[1]METAS SP'!K37+'[1]METAS SP'!Q37</f>
        <v>165691</v>
      </c>
      <c r="J102" s="7">
        <f t="shared" si="113"/>
        <v>18.385596981802042</v>
      </c>
      <c r="K102" s="8" t="str">
        <f t="shared" si="90"/>
        <v>MUY ALTO</v>
      </c>
      <c r="L102" s="7"/>
      <c r="M102" s="8"/>
      <c r="N102" s="7"/>
      <c r="O102" s="8"/>
      <c r="P102" s="31"/>
      <c r="Q102" s="31"/>
      <c r="R102" s="31"/>
      <c r="S102" s="31"/>
      <c r="T102" s="31"/>
    </row>
    <row r="103" spans="1:22" s="11" customFormat="1" ht="28.15" customHeight="1" x14ac:dyDescent="0.25">
      <c r="A103" s="59"/>
      <c r="B103" s="52" t="str">
        <f>[2]SP!A52</f>
        <v>SP-PY.3.4 Convenio de Proyección social</v>
      </c>
      <c r="C103" s="52"/>
      <c r="D103" s="6" t="str">
        <f>[2]SP!D52</f>
        <v># Convenios desarrollados</v>
      </c>
      <c r="E103" s="6">
        <f>+[1]SP!B52</f>
        <v>17</v>
      </c>
      <c r="F103" s="6">
        <f>+[1]SP!C52</f>
        <v>42</v>
      </c>
      <c r="G103" s="5">
        <f t="shared" si="112"/>
        <v>25</v>
      </c>
      <c r="H103" s="6">
        <v>10</v>
      </c>
      <c r="I103" s="30">
        <f>+'[1]METAS SP'!K38+'[1]METAS SP'!Q38</f>
        <v>6</v>
      </c>
      <c r="J103" s="7">
        <f t="shared" si="113"/>
        <v>0.6</v>
      </c>
      <c r="K103" s="8" t="str">
        <f t="shared" si="90"/>
        <v>MEDIO</v>
      </c>
      <c r="L103" s="7">
        <f t="shared" si="114"/>
        <v>0.32156862745098042</v>
      </c>
      <c r="M103" s="8" t="str">
        <f t="shared" si="91"/>
        <v>BAJO</v>
      </c>
      <c r="N103" s="7">
        <f t="shared" si="115"/>
        <v>0.19294117647058825</v>
      </c>
      <c r="O103" s="8" t="str">
        <f t="shared" si="92"/>
        <v>MUY BAJO</v>
      </c>
      <c r="P103" s="9">
        <f t="shared" ref="P103" si="127">+S103+T103</f>
        <v>984</v>
      </c>
      <c r="Q103" s="9">
        <f>([1]SP!F52+[1]SP!H52)/1000000</f>
        <v>3060</v>
      </c>
      <c r="R103" s="9">
        <f t="shared" ref="R103" si="128">+Q103-P103</f>
        <v>2076</v>
      </c>
      <c r="S103" s="9">
        <f>ROUND([1]EV.ACCIONES.aux!M65/1000000*$S$187/$S$188,0)-V103</f>
        <v>223</v>
      </c>
      <c r="T103" s="9">
        <f t="shared" ref="T103" si="129">+U103+V103</f>
        <v>761</v>
      </c>
      <c r="U103" s="11">
        <f>ROUND([2]EV_ACCIONES!$I65/1000000*$S$187/$S$188,0)</f>
        <v>177</v>
      </c>
      <c r="V103" s="11">
        <f>ROUND([3]EV.ACCIONES.aux!$M65/1000000*$S$187/$S$188,0)</f>
        <v>584</v>
      </c>
    </row>
    <row r="104" spans="1:22" s="11" customFormat="1" ht="28.15" customHeight="1" x14ac:dyDescent="0.25">
      <c r="A104" s="59"/>
      <c r="B104" s="52" t="str">
        <f>[2]SP!A52</f>
        <v>SP-PY.3.4 Convenio de Proyección social</v>
      </c>
      <c r="C104" s="52"/>
      <c r="D104" s="6" t="str">
        <f>[2]SP!D53</f>
        <v># Personas beneficiadas</v>
      </c>
      <c r="E104" s="6">
        <f>+[1]SP!B53</f>
        <v>0</v>
      </c>
      <c r="F104" s="6">
        <f>+[1]SP!C53</f>
        <v>16899</v>
      </c>
      <c r="G104" s="5">
        <f t="shared" si="112"/>
        <v>16899</v>
      </c>
      <c r="H104" s="6">
        <v>7899</v>
      </c>
      <c r="I104" s="30">
        <f>+'[1]METAS SP'!K39+'[1]METAS SP'!Q39</f>
        <v>0</v>
      </c>
      <c r="J104" s="7">
        <f t="shared" si="113"/>
        <v>0</v>
      </c>
      <c r="K104" s="8" t="str">
        <f t="shared" si="90"/>
        <v>MUY BAJO</v>
      </c>
      <c r="L104" s="7"/>
      <c r="M104" s="8"/>
      <c r="N104" s="7"/>
      <c r="O104" s="8"/>
      <c r="P104" s="31"/>
      <c r="Q104" s="31"/>
      <c r="R104" s="31"/>
      <c r="S104" s="31"/>
      <c r="T104" s="31"/>
    </row>
    <row r="105" spans="1:22" s="11" customFormat="1" ht="28.15" customHeight="1" x14ac:dyDescent="0.25">
      <c r="A105" s="59"/>
      <c r="B105" s="52" t="str">
        <f>[2]SP!A54</f>
        <v>SP-PY.3.5 Apoyo a estudiantes en prácticas, pasantias y judicaturas</v>
      </c>
      <c r="C105" s="52"/>
      <c r="D105" s="6" t="str">
        <f>[2]SP!D54</f>
        <v># Apoyos realizados</v>
      </c>
      <c r="E105" s="6">
        <f>+[1]SP!B54</f>
        <v>14</v>
      </c>
      <c r="F105" s="6">
        <f>+[1]SP!C54</f>
        <v>28</v>
      </c>
      <c r="G105" s="5">
        <f t="shared" si="112"/>
        <v>14</v>
      </c>
      <c r="H105" s="6">
        <v>56</v>
      </c>
      <c r="I105" s="30">
        <f>+'[1]METAS SP'!K40+'[1]METAS SP'!Q40</f>
        <v>10</v>
      </c>
      <c r="J105" s="7">
        <f t="shared" si="113"/>
        <v>0.17857142857142858</v>
      </c>
      <c r="K105" s="8" t="str">
        <f t="shared" si="90"/>
        <v>MUY BAJO</v>
      </c>
      <c r="L105" s="7">
        <f t="shared" si="114"/>
        <v>0.27500000000000002</v>
      </c>
      <c r="M105" s="8" t="str">
        <f t="shared" si="91"/>
        <v>BAJO</v>
      </c>
      <c r="N105" s="7">
        <f t="shared" si="115"/>
        <v>4.9107142857142863E-2</v>
      </c>
      <c r="O105" s="8" t="str">
        <f t="shared" si="92"/>
        <v>MUY BAJO</v>
      </c>
      <c r="P105" s="9">
        <f t="shared" ref="P105" si="130">+S105+T105</f>
        <v>110</v>
      </c>
      <c r="Q105" s="9">
        <f>([1]SP!F54+[1]SP!H54)/1000000</f>
        <v>400</v>
      </c>
      <c r="R105" s="9">
        <f t="shared" ref="R105" si="131">+Q105-P105</f>
        <v>290</v>
      </c>
      <c r="S105" s="9">
        <f>ROUND([1]EV.ACCIONES.aux!M66/1000000*$S$187/$S$188,0)-V105</f>
        <v>0</v>
      </c>
      <c r="T105" s="9">
        <f t="shared" ref="T105" si="132">+U105+V105</f>
        <v>110</v>
      </c>
      <c r="U105" s="11">
        <f>ROUND([2]EV_ACCIONES!$I66/1000000*$S$187/$S$188,0)</f>
        <v>70</v>
      </c>
      <c r="V105" s="11">
        <f>ROUND([3]EV.ACCIONES.aux!$M66/1000000*$S$187/$S$188,0)</f>
        <v>40</v>
      </c>
    </row>
    <row r="106" spans="1:22" ht="28.15" customHeight="1" thickBot="1" x14ac:dyDescent="0.3">
      <c r="A106" s="59"/>
      <c r="B106" s="53" t="s">
        <v>34</v>
      </c>
      <c r="C106" s="53"/>
      <c r="D106" s="23"/>
      <c r="E106" s="23"/>
      <c r="F106" s="23"/>
      <c r="G106" s="23"/>
      <c r="H106" s="23"/>
      <c r="I106" s="23"/>
      <c r="J106" s="24">
        <f>AVERAGE(J92:J105)</f>
        <v>1.5315415026202082</v>
      </c>
      <c r="K106" s="8" t="str">
        <f t="shared" si="90"/>
        <v>MUY ALTO</v>
      </c>
      <c r="L106" s="24">
        <f>AVERAGE(L92:L105)</f>
        <v>0.35312041988512577</v>
      </c>
      <c r="M106" s="8" t="str">
        <f t="shared" si="91"/>
        <v>BAJO</v>
      </c>
      <c r="N106" s="24">
        <f>AVERAGE(N92:N105)</f>
        <v>0.18243025257240941</v>
      </c>
      <c r="O106" s="8" t="str">
        <f t="shared" si="92"/>
        <v>MUY BAJO</v>
      </c>
      <c r="P106" s="14">
        <f>SUM(P92:P105)</f>
        <v>2538</v>
      </c>
      <c r="Q106" s="14">
        <f>SUM(Q92:Q105)</f>
        <v>7679</v>
      </c>
      <c r="R106" s="14">
        <f>SUM(R92:R105)</f>
        <v>5141</v>
      </c>
      <c r="S106" s="14">
        <f>SUM(S92:S105)</f>
        <v>409</v>
      </c>
      <c r="T106" s="14">
        <f>SUM(T92:T105)</f>
        <v>2129</v>
      </c>
    </row>
    <row r="107" spans="1:22" s="11" customFormat="1" ht="28.15" customHeight="1" x14ac:dyDescent="0.25">
      <c r="A107" s="59"/>
      <c r="B107" s="52" t="str">
        <f>[2]SP!$A$60</f>
        <v>SP-PY.4.1 Prensa</v>
      </c>
      <c r="C107" s="52"/>
      <c r="D107" s="6" t="str">
        <f>[2]SP!D60</f>
        <v>Ediciones</v>
      </c>
      <c r="E107" s="6">
        <f>+[1]SP!B60</f>
        <v>138</v>
      </c>
      <c r="F107" s="6">
        <f>+[1]SP!C60</f>
        <v>308</v>
      </c>
      <c r="G107" s="5">
        <f t="shared" ref="G107:G113" si="133">+F107-E107</f>
        <v>170</v>
      </c>
      <c r="H107" s="6">
        <v>70</v>
      </c>
      <c r="I107" s="30">
        <f>+'[1]METAS SP'!K41+'[1]METAS SP'!Q41</f>
        <v>179</v>
      </c>
      <c r="J107" s="7">
        <f t="shared" ref="J107:J113" si="134">+I107/H107</f>
        <v>2.5571428571428569</v>
      </c>
      <c r="K107" s="8" t="str">
        <f t="shared" si="90"/>
        <v>MUY ALTO</v>
      </c>
      <c r="L107" s="7">
        <f t="shared" ref="L107:L112" si="135">+P107/Q107</f>
        <v>0.47542043984476068</v>
      </c>
      <c r="M107" s="8" t="str">
        <f t="shared" si="91"/>
        <v>MEDIO</v>
      </c>
      <c r="N107" s="7">
        <f t="shared" ref="N107:N112" si="136">+J107*L107</f>
        <v>1.2157179818887451</v>
      </c>
      <c r="O107" s="8" t="str">
        <f t="shared" si="92"/>
        <v>MUY ALTO</v>
      </c>
      <c r="P107" s="9">
        <f t="shared" ref="P107" si="137">+S107+T107</f>
        <v>147</v>
      </c>
      <c r="Q107" s="9">
        <f>([1]SP!F60+[1]SP!H60)/1000000</f>
        <v>309.2</v>
      </c>
      <c r="R107" s="9">
        <f t="shared" ref="R107" si="138">+Q107-P107</f>
        <v>162.19999999999999</v>
      </c>
      <c r="S107" s="9">
        <f>ROUND([1]EV.ACCIONES.aux!M67/1000000*$S$187/$S$188,0)-V107</f>
        <v>0</v>
      </c>
      <c r="T107" s="9">
        <f t="shared" ref="T107" si="139">+U107+V107</f>
        <v>147</v>
      </c>
      <c r="U107" s="11">
        <f>ROUND([2]EV_ACCIONES!$I67/1000000*$S$187/$S$188,0)</f>
        <v>104</v>
      </c>
      <c r="V107" s="11">
        <f>ROUND([3]EV.ACCIONES.aux!$M67/1000000*$S$187/$S$188,0)</f>
        <v>43</v>
      </c>
    </row>
    <row r="108" spans="1:22" s="11" customFormat="1" ht="28.15" customHeight="1" x14ac:dyDescent="0.25">
      <c r="A108" s="59"/>
      <c r="B108" s="52" t="str">
        <f>[2]SP!$A$60</f>
        <v>SP-PY.4.1 Prensa</v>
      </c>
      <c r="C108" s="52"/>
      <c r="D108" s="6" t="str">
        <f>[2]SP!D61</f>
        <v>Publicaciones</v>
      </c>
      <c r="E108" s="6">
        <f>+[1]SP!B61</f>
        <v>1600</v>
      </c>
      <c r="F108" s="6">
        <f>+[1]SP!C61</f>
        <v>4800</v>
      </c>
      <c r="G108" s="5">
        <f t="shared" si="133"/>
        <v>3200</v>
      </c>
      <c r="H108" s="6">
        <v>960</v>
      </c>
      <c r="I108" s="30">
        <f>+'[1]METAS SP'!K42+'[1]METAS SP'!Q42</f>
        <v>6342</v>
      </c>
      <c r="J108" s="7">
        <f t="shared" si="134"/>
        <v>6.6062500000000002</v>
      </c>
      <c r="K108" s="8" t="str">
        <f t="shared" si="90"/>
        <v>MUY ALTO</v>
      </c>
      <c r="L108" s="7"/>
      <c r="M108" s="8"/>
      <c r="N108" s="7"/>
      <c r="O108" s="8"/>
      <c r="P108" s="31"/>
      <c r="Q108" s="31"/>
      <c r="R108" s="31"/>
      <c r="S108" s="31"/>
      <c r="T108" s="31"/>
    </row>
    <row r="109" spans="1:22" s="11" customFormat="1" ht="28.15" customHeight="1" x14ac:dyDescent="0.25">
      <c r="A109" s="59"/>
      <c r="B109" s="52" t="str">
        <f>[2]SP!$A$60</f>
        <v>SP-PY.4.1 Prensa</v>
      </c>
      <c r="C109" s="52"/>
      <c r="D109" s="6" t="str">
        <f>[2]SP!D62</f>
        <v>Piezas audiovisulaes</v>
      </c>
      <c r="E109" s="6">
        <f>+[1]SP!B62</f>
        <v>48</v>
      </c>
      <c r="F109" s="6">
        <f>+[1]SP!C62</f>
        <v>144</v>
      </c>
      <c r="G109" s="5">
        <f t="shared" si="133"/>
        <v>96</v>
      </c>
      <c r="H109" s="6">
        <v>34</v>
      </c>
      <c r="I109" s="30">
        <f>+'[1]METAS SP'!K43+'[1]METAS SP'!Q43</f>
        <v>399</v>
      </c>
      <c r="J109" s="7">
        <f t="shared" si="134"/>
        <v>11.735294117647058</v>
      </c>
      <c r="K109" s="8" t="str">
        <f t="shared" si="90"/>
        <v>MUY ALTO</v>
      </c>
      <c r="L109" s="7"/>
      <c r="M109" s="8"/>
      <c r="N109" s="7"/>
      <c r="O109" s="8"/>
      <c r="P109" s="31"/>
      <c r="Q109" s="31"/>
      <c r="R109" s="31"/>
      <c r="S109" s="31"/>
      <c r="T109" s="31"/>
    </row>
    <row r="110" spans="1:22" s="11" customFormat="1" ht="28.15" customHeight="1" x14ac:dyDescent="0.25">
      <c r="A110" s="59"/>
      <c r="B110" s="52" t="str">
        <f>[2]SP!A63</f>
        <v>SP-PY.4.2 Radio</v>
      </c>
      <c r="C110" s="52"/>
      <c r="D110" s="6" t="str">
        <f>[2]SP!D63</f>
        <v>Programas radiales emitidos</v>
      </c>
      <c r="E110" s="6">
        <f>+[1]SP!B63</f>
        <v>1920</v>
      </c>
      <c r="F110" s="6">
        <f>+[1]SP!C63</f>
        <v>2040</v>
      </c>
      <c r="G110" s="5">
        <f t="shared" si="133"/>
        <v>120</v>
      </c>
      <c r="H110" s="6">
        <v>48</v>
      </c>
      <c r="I110" s="30">
        <f>+'[1]METAS SP'!K44+'[1]METAS SP'!Q44</f>
        <v>2241</v>
      </c>
      <c r="J110" s="7">
        <f t="shared" si="134"/>
        <v>46.6875</v>
      </c>
      <c r="K110" s="8" t="str">
        <f t="shared" si="90"/>
        <v>MUY ALTO</v>
      </c>
      <c r="L110" s="7">
        <f t="shared" si="135"/>
        <v>0.59676331759946055</v>
      </c>
      <c r="M110" s="8" t="str">
        <f t="shared" si="91"/>
        <v>MEDIO</v>
      </c>
      <c r="N110" s="7">
        <f t="shared" si="136"/>
        <v>27.861387390424813</v>
      </c>
      <c r="O110" s="8" t="str">
        <f t="shared" si="92"/>
        <v>MUY ALTO</v>
      </c>
      <c r="P110" s="9">
        <f t="shared" ref="P110:P112" si="140">+S110+T110</f>
        <v>177</v>
      </c>
      <c r="Q110" s="9">
        <f>([1]SP!F63+[1]SP!H63)/1000000</f>
        <v>296.60000000000002</v>
      </c>
      <c r="R110" s="9">
        <f t="shared" ref="R110:R112" si="141">+Q110-P110</f>
        <v>119.60000000000002</v>
      </c>
      <c r="S110" s="9">
        <f>ROUND([1]EV.ACCIONES.aux!M68/1000000*$S$187/$S$188,0)-V110</f>
        <v>31</v>
      </c>
      <c r="T110" s="9">
        <f t="shared" ref="T110:T112" si="142">+U110+V110</f>
        <v>146</v>
      </c>
      <c r="U110" s="11">
        <f>ROUND([2]EV_ACCIONES!$I68/1000000*$S$187/$S$188,0)</f>
        <v>99</v>
      </c>
      <c r="V110" s="11">
        <f>ROUND([3]EV.ACCIONES.aux!$M68/1000000*$S$187/$S$188,0)</f>
        <v>47</v>
      </c>
    </row>
    <row r="111" spans="1:22" s="11" customFormat="1" ht="28.15" customHeight="1" x14ac:dyDescent="0.25">
      <c r="A111" s="59"/>
      <c r="B111" s="52" t="str">
        <f>[2]SP!A64</f>
        <v>SP-PY.4.3 Televisión</v>
      </c>
      <c r="C111" s="52"/>
      <c r="D111" s="6" t="str">
        <f>[2]SP!D64</f>
        <v>Programas televisivos realizados</v>
      </c>
      <c r="E111" s="6">
        <f>+[1]SP!B64</f>
        <v>105</v>
      </c>
      <c r="F111" s="6">
        <f>+[1]SP!C64</f>
        <v>264</v>
      </c>
      <c r="G111" s="5">
        <f t="shared" si="133"/>
        <v>159</v>
      </c>
      <c r="H111" s="6">
        <v>15</v>
      </c>
      <c r="I111" s="30">
        <f>+'[1]METAS SP'!K45+'[1]METAS SP'!Q45</f>
        <v>179</v>
      </c>
      <c r="J111" s="7">
        <f t="shared" si="134"/>
        <v>11.933333333333334</v>
      </c>
      <c r="K111" s="8" t="str">
        <f t="shared" si="90"/>
        <v>MUY ALTO</v>
      </c>
      <c r="L111" s="7">
        <f t="shared" si="135"/>
        <v>0.40465631929046564</v>
      </c>
      <c r="M111" s="8" t="str">
        <f t="shared" si="91"/>
        <v>MEDIO</v>
      </c>
      <c r="N111" s="7">
        <f t="shared" si="136"/>
        <v>4.8288987435328901</v>
      </c>
      <c r="O111" s="8" t="str">
        <f t="shared" si="92"/>
        <v>MUY ALTO</v>
      </c>
      <c r="P111" s="9">
        <f t="shared" si="140"/>
        <v>73</v>
      </c>
      <c r="Q111" s="9">
        <f>([1]SP!F64+[1]SP!H64)/1000000</f>
        <v>180.4</v>
      </c>
      <c r="R111" s="9">
        <f t="shared" si="141"/>
        <v>107.4</v>
      </c>
      <c r="S111" s="9">
        <f>ROUND([1]EV.ACCIONES.aux!M69/1000000*$S$187/$S$188,0)-V111</f>
        <v>1</v>
      </c>
      <c r="T111" s="9">
        <f t="shared" si="142"/>
        <v>72</v>
      </c>
      <c r="U111" s="11">
        <f>ROUND([2]EV_ACCIONES!$I69/1000000*$S$187/$S$188,0)</f>
        <v>59</v>
      </c>
      <c r="V111" s="11">
        <f>ROUND([3]EV.ACCIONES.aux!$M69/1000000*$S$187/$S$188,0)</f>
        <v>13</v>
      </c>
    </row>
    <row r="112" spans="1:22" s="11" customFormat="1" ht="28.15" customHeight="1" x14ac:dyDescent="0.25">
      <c r="A112" s="59"/>
      <c r="B112" s="52" t="str">
        <f>[2]SP!A65</f>
        <v>SP-PY.4.4 Comunicación organizacional</v>
      </c>
      <c r="C112" s="52"/>
      <c r="D112" s="6" t="str">
        <f>[2]SP!D65</f>
        <v>Capacitaciones realizadas</v>
      </c>
      <c r="E112" s="6">
        <f>+[1]SP!B65</f>
        <v>0</v>
      </c>
      <c r="F112" s="6">
        <f>+[1]SP!C65</f>
        <v>24</v>
      </c>
      <c r="G112" s="5">
        <f t="shared" si="133"/>
        <v>24</v>
      </c>
      <c r="H112" s="6">
        <v>48</v>
      </c>
      <c r="I112" s="30">
        <f>+'[1]METAS SP'!K46+'[1]METAS SP'!Q46</f>
        <v>31</v>
      </c>
      <c r="J112" s="7">
        <f t="shared" si="134"/>
        <v>0.64583333333333337</v>
      </c>
      <c r="K112" s="8" t="str">
        <f t="shared" si="90"/>
        <v>ALTO</v>
      </c>
      <c r="L112" s="7">
        <f t="shared" si="135"/>
        <v>0.70875521143537823</v>
      </c>
      <c r="M112" s="8" t="str">
        <f t="shared" si="91"/>
        <v>ALTO</v>
      </c>
      <c r="N112" s="7">
        <f t="shared" si="136"/>
        <v>0.45773774071868178</v>
      </c>
      <c r="O112" s="8" t="str">
        <f t="shared" si="92"/>
        <v>MEDIO</v>
      </c>
      <c r="P112" s="9">
        <f t="shared" si="140"/>
        <v>238</v>
      </c>
      <c r="Q112" s="9">
        <f>([1]SP!F65+[1]SP!H65)/1000000</f>
        <v>335.8</v>
      </c>
      <c r="R112" s="9">
        <f t="shared" si="141"/>
        <v>97.800000000000011</v>
      </c>
      <c r="S112" s="9">
        <f>ROUND([1]EV.ACCIONES.aux!M70/1000000*$S$187/$S$188,0)-V112</f>
        <v>26</v>
      </c>
      <c r="T112" s="9">
        <f t="shared" si="142"/>
        <v>212</v>
      </c>
      <c r="U112" s="11">
        <f>ROUND([2]EV_ACCIONES!$I70/1000000*$S$187/$S$188,0)</f>
        <v>147</v>
      </c>
      <c r="V112" s="11">
        <f>ROUND([3]EV.ACCIONES.aux!$M70/1000000*$S$187/$S$188,0)</f>
        <v>65</v>
      </c>
    </row>
    <row r="113" spans="1:22" s="11" customFormat="1" ht="28.15" customHeight="1" x14ac:dyDescent="0.25">
      <c r="A113" s="59"/>
      <c r="B113" s="52" t="str">
        <f>[2]SP!A65</f>
        <v>SP-PY.4.4 Comunicación organizacional</v>
      </c>
      <c r="C113" s="52"/>
      <c r="D113" s="6" t="str">
        <f>[2]SP!D66</f>
        <v>Fachadas señalizadas</v>
      </c>
      <c r="E113" s="6">
        <f>+[1]SP!B66</f>
        <v>0</v>
      </c>
      <c r="F113" s="6">
        <f>+[1]SP!C66</f>
        <v>12</v>
      </c>
      <c r="G113" s="5">
        <f t="shared" si="133"/>
        <v>12</v>
      </c>
      <c r="H113" s="6">
        <v>6</v>
      </c>
      <c r="I113" s="30">
        <f>+'[1]METAS SP'!K47+'[1]METAS SP'!Q47</f>
        <v>1</v>
      </c>
      <c r="J113" s="7">
        <f t="shared" si="134"/>
        <v>0.16666666666666666</v>
      </c>
      <c r="K113" s="8" t="str">
        <f t="shared" si="90"/>
        <v>MUY BAJO</v>
      </c>
      <c r="L113" s="7"/>
      <c r="M113" s="8"/>
      <c r="N113" s="7"/>
      <c r="O113" s="8"/>
      <c r="P113" s="31"/>
      <c r="Q113" s="31"/>
      <c r="R113" s="31"/>
      <c r="S113" s="31"/>
      <c r="T113" s="31"/>
    </row>
    <row r="114" spans="1:22" ht="28.15" customHeight="1" thickBot="1" x14ac:dyDescent="0.3">
      <c r="A114" s="59"/>
      <c r="B114" s="53" t="s">
        <v>35</v>
      </c>
      <c r="C114" s="53"/>
      <c r="D114" s="23"/>
      <c r="E114" s="23"/>
      <c r="F114" s="23"/>
      <c r="G114" s="23"/>
      <c r="H114" s="23"/>
      <c r="I114" s="23"/>
      <c r="J114" s="24">
        <f>AVERAGE(J107:J113)</f>
        <v>11.476002901160465</v>
      </c>
      <c r="K114" s="8" t="str">
        <f t="shared" si="90"/>
        <v>MUY ALTO</v>
      </c>
      <c r="L114" s="24">
        <f>AVERAGE(L107:L113)</f>
        <v>0.54639882204251622</v>
      </c>
      <c r="M114" s="8" t="str">
        <f t="shared" si="91"/>
        <v>MEDIO</v>
      </c>
      <c r="N114" s="24">
        <f>AVERAGE(N107:N113)</f>
        <v>8.5909354641412836</v>
      </c>
      <c r="O114" s="8" t="str">
        <f t="shared" si="92"/>
        <v>MUY ALTO</v>
      </c>
      <c r="P114" s="14">
        <f>SUM(P107:P113)</f>
        <v>635</v>
      </c>
      <c r="Q114" s="14">
        <f t="shared" ref="Q114:T114" si="143">SUM(Q107:Q113)</f>
        <v>1122</v>
      </c>
      <c r="R114" s="14">
        <f t="shared" si="143"/>
        <v>487.00000000000006</v>
      </c>
      <c r="S114" s="14">
        <f t="shared" si="143"/>
        <v>58</v>
      </c>
      <c r="T114" s="14">
        <f t="shared" si="143"/>
        <v>577</v>
      </c>
    </row>
    <row r="115" spans="1:22" s="11" customFormat="1" ht="42.6" customHeight="1" x14ac:dyDescent="0.25">
      <c r="A115" s="59"/>
      <c r="B115" s="52" t="str">
        <f>[2]SP!A72</f>
        <v>SP-PY.5.1 Construcción de una  Agenda Prospectiva para el desarrollo Social y humano del Departamento del Huila</v>
      </c>
      <c r="C115" s="52"/>
      <c r="D115" s="6" t="str">
        <f>[2]SP!D72</f>
        <v>DOCUMENTO</v>
      </c>
      <c r="E115" s="6">
        <f>+[1]SP!B72</f>
        <v>0</v>
      </c>
      <c r="F115" s="6">
        <f>+[1]SP!C72</f>
        <v>1</v>
      </c>
      <c r="G115" s="5">
        <f t="shared" ref="G115:G118" si="144">+F115-E115</f>
        <v>1</v>
      </c>
      <c r="H115" s="25">
        <v>0.4</v>
      </c>
      <c r="I115" s="30">
        <f>+'[1]METAS SP'!K48+'[1]METAS SP'!Q48</f>
        <v>0.25</v>
      </c>
      <c r="J115" s="7">
        <f t="shared" ref="J115:J118" si="145">+I115/H115</f>
        <v>0.625</v>
      </c>
      <c r="K115" s="8" t="str">
        <f t="shared" si="90"/>
        <v>ALTO</v>
      </c>
      <c r="L115" s="7">
        <f t="shared" ref="L115:L118" si="146">+P115/Q115</f>
        <v>0.34230769230769231</v>
      </c>
      <c r="M115" s="8" t="str">
        <f t="shared" si="91"/>
        <v>BAJO</v>
      </c>
      <c r="N115" s="7">
        <f t="shared" ref="N115:N118" si="147">+J115*L115</f>
        <v>0.21394230769230771</v>
      </c>
      <c r="O115" s="8" t="str">
        <f t="shared" si="92"/>
        <v>BAJO</v>
      </c>
      <c r="P115" s="9">
        <f t="shared" ref="P115:P118" si="148">+S115+T115</f>
        <v>89</v>
      </c>
      <c r="Q115" s="9">
        <f>([1]SP!F72+[1]SP!H72)/1000000</f>
        <v>260</v>
      </c>
      <c r="R115" s="9">
        <f t="shared" ref="R115:R118" si="149">+Q115-P115</f>
        <v>171</v>
      </c>
      <c r="S115" s="9">
        <f>ROUND([1]EV.ACCIONES.aux!M71/1000000*$S$187/$S$188,0)-V115</f>
        <v>0</v>
      </c>
      <c r="T115" s="9">
        <f t="shared" ref="T115:T118" si="150">+U115+V115</f>
        <v>89</v>
      </c>
      <c r="U115" s="11">
        <f>ROUND([2]EV_ACCIONES!$I71/1000000*$S$187/$S$188,0)</f>
        <v>89</v>
      </c>
      <c r="V115" s="11">
        <f>ROUND([3]EV.ACCIONES.aux!$M71/1000000*$S$187/$S$188,0)</f>
        <v>0</v>
      </c>
    </row>
    <row r="116" spans="1:22" s="11" customFormat="1" ht="47.45" customHeight="1" x14ac:dyDescent="0.25">
      <c r="A116" s="59"/>
      <c r="B116" s="52" t="str">
        <f>[2]SP!A73</f>
        <v>SP-PY.5.2 Formación y capacitación  en formulación,seguimiento y evaluación de políticas públicas</v>
      </c>
      <c r="C116" s="52"/>
      <c r="D116" s="6" t="str">
        <f>[2]SP!D73</f>
        <v>EVENTOS</v>
      </c>
      <c r="E116" s="6">
        <f>+[1]SP!B73</f>
        <v>14</v>
      </c>
      <c r="F116" s="6">
        <f>+[1]SP!C73</f>
        <v>24</v>
      </c>
      <c r="G116" s="5">
        <f t="shared" si="144"/>
        <v>10</v>
      </c>
      <c r="H116" s="25">
        <v>4</v>
      </c>
      <c r="I116" s="30">
        <f>+'[1]METAS SP'!K49+'[1]METAS SP'!Q49</f>
        <v>2</v>
      </c>
      <c r="J116" s="7">
        <f t="shared" si="145"/>
        <v>0.5</v>
      </c>
      <c r="K116" s="8" t="str">
        <f t="shared" si="90"/>
        <v>MEDIO</v>
      </c>
      <c r="L116" s="7">
        <f t="shared" si="146"/>
        <v>0.2</v>
      </c>
      <c r="M116" s="8" t="str">
        <f t="shared" si="91"/>
        <v>MUY BAJO</v>
      </c>
      <c r="N116" s="7">
        <f t="shared" si="147"/>
        <v>0.1</v>
      </c>
      <c r="O116" s="8" t="str">
        <f t="shared" si="92"/>
        <v>MUY BAJO</v>
      </c>
      <c r="P116" s="9">
        <f t="shared" si="148"/>
        <v>4</v>
      </c>
      <c r="Q116" s="9">
        <f>([1]SP!F73+[1]SP!H73)/1000000</f>
        <v>20</v>
      </c>
      <c r="R116" s="9">
        <f t="shared" si="149"/>
        <v>16</v>
      </c>
      <c r="S116" s="9">
        <f>ROUND([1]EV.ACCIONES.aux!M72/1000000*$S$187/$S$188,0)-V116</f>
        <v>0</v>
      </c>
      <c r="T116" s="9">
        <f t="shared" si="150"/>
        <v>4</v>
      </c>
      <c r="U116" s="11">
        <f>ROUND([2]EV_ACCIONES!$I72/1000000*$S$187/$S$188,0)</f>
        <v>4</v>
      </c>
      <c r="V116" s="11">
        <f>ROUND([3]EV.ACCIONES.aux!$M72/1000000*$S$187/$S$188,0)</f>
        <v>0</v>
      </c>
    </row>
    <row r="117" spans="1:22" s="11" customFormat="1" ht="41.45" customHeight="1" x14ac:dyDescent="0.25">
      <c r="A117" s="59"/>
      <c r="B117" s="52" t="str">
        <f>[2]SP!A74</f>
        <v>SP-PY.5.3 Investigación y generación de conocimiento sobre  politicas publicas regionales</v>
      </c>
      <c r="C117" s="52"/>
      <c r="D117" s="6" t="str">
        <f>[2]SP!D74</f>
        <v>ESTUDIOS REALIZADOS</v>
      </c>
      <c r="E117" s="6">
        <f>+[1]SP!B74</f>
        <v>5</v>
      </c>
      <c r="F117" s="6">
        <f>+[1]SP!C74</f>
        <v>16</v>
      </c>
      <c r="G117" s="5">
        <f t="shared" si="144"/>
        <v>11</v>
      </c>
      <c r="H117" s="25">
        <v>4</v>
      </c>
      <c r="I117" s="30">
        <f>+'[1]METAS SP'!K50+'[1]METAS SP'!Q50</f>
        <v>2</v>
      </c>
      <c r="J117" s="7">
        <f t="shared" si="145"/>
        <v>0.5</v>
      </c>
      <c r="K117" s="8" t="str">
        <f t="shared" si="90"/>
        <v>MEDIO</v>
      </c>
      <c r="L117" s="7">
        <f t="shared" si="146"/>
        <v>0.5</v>
      </c>
      <c r="M117" s="8" t="str">
        <f t="shared" si="91"/>
        <v>MEDIO</v>
      </c>
      <c r="N117" s="7">
        <f t="shared" si="147"/>
        <v>0.25</v>
      </c>
      <c r="O117" s="8" t="str">
        <f t="shared" si="92"/>
        <v>BAJO</v>
      </c>
      <c r="P117" s="9">
        <f t="shared" si="148"/>
        <v>8</v>
      </c>
      <c r="Q117" s="9">
        <f>([1]SP!F74+[1]SP!H74)/1000000</f>
        <v>16</v>
      </c>
      <c r="R117" s="9">
        <f t="shared" si="149"/>
        <v>8</v>
      </c>
      <c r="S117" s="9">
        <f>ROUND([1]EV.ACCIONES.aux!M73/1000000*$S$187/$S$188,0)-V117</f>
        <v>0</v>
      </c>
      <c r="T117" s="9">
        <f t="shared" si="150"/>
        <v>8</v>
      </c>
      <c r="U117" s="11">
        <f>ROUND([2]EV_ACCIONES!$I73/1000000*$S$187/$S$188,0)</f>
        <v>8</v>
      </c>
      <c r="V117" s="11">
        <f>ROUND([3]EV.ACCIONES.aux!$M73/1000000*$S$187/$S$188,0)</f>
        <v>0</v>
      </c>
    </row>
    <row r="118" spans="1:22" s="11" customFormat="1" ht="37.15" customHeight="1" x14ac:dyDescent="0.25">
      <c r="A118" s="59"/>
      <c r="B118" s="52" t="str">
        <f>[2]SP!A75</f>
        <v>SP-PY.5.4 Creación y puesta en funcionamiento del Observatorio Regional de Políticas Públicas</v>
      </c>
      <c r="C118" s="52"/>
      <c r="D118" s="6" t="str">
        <f>[2]SP!D75</f>
        <v>OBSERVATORIO</v>
      </c>
      <c r="E118" s="6">
        <f>+[1]SP!B75</f>
        <v>0.1</v>
      </c>
      <c r="F118" s="6">
        <f>+[1]SP!C75</f>
        <v>1</v>
      </c>
      <c r="G118" s="5">
        <f t="shared" si="144"/>
        <v>0.9</v>
      </c>
      <c r="H118" s="25">
        <v>1.45</v>
      </c>
      <c r="I118" s="30">
        <f>+'[1]METAS SP'!K51+'[1]METAS SP'!Q51</f>
        <v>0.45</v>
      </c>
      <c r="J118" s="7">
        <f t="shared" si="145"/>
        <v>0.31034482758620691</v>
      </c>
      <c r="K118" s="8" t="str">
        <f t="shared" si="90"/>
        <v>BAJO</v>
      </c>
      <c r="L118" s="7">
        <f t="shared" si="146"/>
        <v>0.8</v>
      </c>
      <c r="M118" s="8" t="str">
        <f t="shared" si="91"/>
        <v>ALTO</v>
      </c>
      <c r="N118" s="7">
        <f t="shared" si="147"/>
        <v>0.24827586206896554</v>
      </c>
      <c r="O118" s="8" t="str">
        <f t="shared" si="92"/>
        <v>BAJO</v>
      </c>
      <c r="P118" s="9">
        <f t="shared" si="148"/>
        <v>40</v>
      </c>
      <c r="Q118" s="9">
        <f>([1]SP!F75+[1]SP!H75)/1000000</f>
        <v>50</v>
      </c>
      <c r="R118" s="9">
        <f t="shared" si="149"/>
        <v>10</v>
      </c>
      <c r="S118" s="9">
        <f>ROUND([1]EV.ACCIONES.aux!M74/1000000*$S$187/$S$188,0)-V118</f>
        <v>0</v>
      </c>
      <c r="T118" s="9">
        <f t="shared" si="150"/>
        <v>40</v>
      </c>
      <c r="U118" s="11">
        <f>ROUND([2]EV_ACCIONES!$I74/1000000*$S$187/$S$188,0)</f>
        <v>12</v>
      </c>
      <c r="V118" s="11">
        <f>ROUND([3]EV.ACCIONES.aux!$M74/1000000*$S$187/$S$188,0)</f>
        <v>28</v>
      </c>
    </row>
    <row r="119" spans="1:22" ht="28.15" customHeight="1" thickBot="1" x14ac:dyDescent="0.3">
      <c r="A119" s="59"/>
      <c r="B119" s="53" t="s">
        <v>36</v>
      </c>
      <c r="C119" s="53"/>
      <c r="D119" s="23"/>
      <c r="E119" s="23"/>
      <c r="F119" s="23"/>
      <c r="G119" s="23"/>
      <c r="H119" s="23"/>
      <c r="I119" s="23"/>
      <c r="J119" s="24">
        <f>AVERAGE(J115:J118)</f>
        <v>0.48383620689655171</v>
      </c>
      <c r="K119" s="8" t="str">
        <f t="shared" si="90"/>
        <v>MEDIO</v>
      </c>
      <c r="L119" s="24">
        <f>AVERAGE(L115:L118)</f>
        <v>0.46057692307692311</v>
      </c>
      <c r="M119" s="8" t="str">
        <f t="shared" si="91"/>
        <v>MEDIO</v>
      </c>
      <c r="N119" s="24">
        <f>AVERAGE(N115:N118)</f>
        <v>0.20305454244031831</v>
      </c>
      <c r="O119" s="8" t="str">
        <f t="shared" si="92"/>
        <v>BAJO</v>
      </c>
      <c r="P119" s="14">
        <f>SUM(P115:P118)</f>
        <v>141</v>
      </c>
      <c r="Q119" s="14">
        <f t="shared" ref="Q119:T119" si="151">SUM(Q115:Q118)</f>
        <v>346</v>
      </c>
      <c r="R119" s="14">
        <f t="shared" si="151"/>
        <v>205</v>
      </c>
      <c r="S119" s="14">
        <f t="shared" si="151"/>
        <v>0</v>
      </c>
      <c r="T119" s="14">
        <f t="shared" si="151"/>
        <v>141</v>
      </c>
    </row>
    <row r="120" spans="1:22" s="11" customFormat="1" ht="28.15" customHeight="1" x14ac:dyDescent="0.25">
      <c r="A120" s="59"/>
      <c r="B120" s="52" t="str">
        <f>[2]SP!A81</f>
        <v>SP-PY.6. 1Fortalecimiento de las sedes regionale</v>
      </c>
      <c r="C120" s="52"/>
      <c r="D120" s="6" t="str">
        <f>[2]SP!D81</f>
        <v xml:space="preserve"># ESTUDIANTES </v>
      </c>
      <c r="E120" s="6"/>
      <c r="F120" s="6"/>
      <c r="G120" s="5">
        <f t="shared" ref="G120" si="152">+F120-E120</f>
        <v>0</v>
      </c>
      <c r="H120" s="6">
        <v>160</v>
      </c>
      <c r="I120" s="30">
        <f>+'[1]METAS SP'!K52+'[1]METAS SP'!Q52</f>
        <v>527</v>
      </c>
      <c r="J120" s="7">
        <f>+I120/H120</f>
        <v>3.2937500000000002</v>
      </c>
      <c r="K120" s="8" t="str">
        <f t="shared" si="90"/>
        <v>MUY ALTO</v>
      </c>
      <c r="L120" s="7">
        <f>+P120/Q120</f>
        <v>0.25051326424542236</v>
      </c>
      <c r="M120" s="8" t="str">
        <f t="shared" si="91"/>
        <v>BAJO</v>
      </c>
      <c r="N120" s="7">
        <f>+J120*L120</f>
        <v>0.82512806410835993</v>
      </c>
      <c r="O120" s="8" t="str">
        <f t="shared" si="92"/>
        <v>MUY ALTO</v>
      </c>
      <c r="P120" s="9">
        <f t="shared" ref="P120" si="153">+S120+T120</f>
        <v>87</v>
      </c>
      <c r="Q120" s="9">
        <f>([1]SP!F81+[1]SP!H81)/1000000</f>
        <v>347.28699999999998</v>
      </c>
      <c r="R120" s="9">
        <f t="shared" ref="R120" si="154">+Q120-P120</f>
        <v>260.28699999999998</v>
      </c>
      <c r="S120" s="9">
        <f>ROUND([1]EV.ACCIONES.aux!M75/1000000*$S$187/$S$188,0)-V120</f>
        <v>0</v>
      </c>
      <c r="T120" s="9">
        <f t="shared" ref="T120" si="155">+U120+V120</f>
        <v>87</v>
      </c>
      <c r="U120" s="11">
        <f>ROUND([2]EV_ACCIONES!$I75/1000000*$S$187/$S$188,0)</f>
        <v>87</v>
      </c>
      <c r="V120" s="11">
        <f>ROUND([3]EV.ACCIONES.aux!$M75/1000000*$S$187/$S$188,0)</f>
        <v>0</v>
      </c>
    </row>
    <row r="121" spans="1:22" ht="28.15" customHeight="1" thickBot="1" x14ac:dyDescent="0.3">
      <c r="A121" s="60"/>
      <c r="B121" s="53" t="s">
        <v>37</v>
      </c>
      <c r="C121" s="53"/>
      <c r="D121" s="23"/>
      <c r="E121" s="23"/>
      <c r="F121" s="23"/>
      <c r="G121" s="23"/>
      <c r="H121" s="23"/>
      <c r="I121" s="23"/>
      <c r="J121" s="24">
        <f>AVERAGE(J120)</f>
        <v>3.2937500000000002</v>
      </c>
      <c r="K121" s="8" t="str">
        <f t="shared" si="90"/>
        <v>MUY ALTO</v>
      </c>
      <c r="L121" s="24">
        <f>AVERAGE(L120)</f>
        <v>0.25051326424542236</v>
      </c>
      <c r="M121" s="8" t="str">
        <f t="shared" si="91"/>
        <v>BAJO</v>
      </c>
      <c r="N121" s="24">
        <f>AVERAGE(N120)</f>
        <v>0.82512806410835993</v>
      </c>
      <c r="O121" s="8" t="str">
        <f t="shared" si="92"/>
        <v>MUY ALTO</v>
      </c>
      <c r="P121" s="14">
        <f>SUM(P120)</f>
        <v>87</v>
      </c>
      <c r="Q121" s="14">
        <f>SUM(Q120)</f>
        <v>347.28699999999998</v>
      </c>
      <c r="R121" s="14">
        <f>SUM(R120)</f>
        <v>260.28699999999998</v>
      </c>
      <c r="S121" s="14">
        <f>SUM(S120)</f>
        <v>0</v>
      </c>
      <c r="T121" s="14">
        <f>SUM(T120)</f>
        <v>87</v>
      </c>
    </row>
    <row r="122" spans="1:22" ht="31.9" customHeight="1" x14ac:dyDescent="0.25">
      <c r="A122" s="34"/>
      <c r="B122" s="51" t="s">
        <v>38</v>
      </c>
      <c r="C122" s="51"/>
      <c r="D122" s="27"/>
      <c r="E122" s="27"/>
      <c r="F122" s="27"/>
      <c r="G122" s="27"/>
      <c r="H122" s="50"/>
      <c r="I122" s="27"/>
      <c r="J122" s="28">
        <f>AVERAGE(J121,J119,J114,J106,J91,J69)</f>
        <v>4.0658555202451234</v>
      </c>
      <c r="K122" s="8" t="str">
        <f t="shared" si="90"/>
        <v>MUY ALTO</v>
      </c>
      <c r="L122" s="28">
        <f>AVERAGE(L121,L119,L114,L106,L91,L69)</f>
        <v>0.37343823408367965</v>
      </c>
      <c r="M122" s="8" t="str">
        <f t="shared" si="91"/>
        <v>BAJO</v>
      </c>
      <c r="N122" s="28">
        <f>AVERAGE(N121,N119,N114,N106,N91,N69)</f>
        <v>2.4464049272144579</v>
      </c>
      <c r="O122" s="8" t="str">
        <f t="shared" si="92"/>
        <v>MUY ALTO</v>
      </c>
      <c r="P122" s="29">
        <f>+P121+P119+P114+P106+P91+P69</f>
        <v>4183</v>
      </c>
      <c r="Q122" s="29">
        <f t="shared" ref="Q122:T122" si="156">+Q121+Q119+Q114+Q106+Q91+Q69</f>
        <v>12537.53175</v>
      </c>
      <c r="R122" s="29">
        <f t="shared" si="156"/>
        <v>8354.5317500000001</v>
      </c>
      <c r="S122" s="29">
        <f t="shared" si="156"/>
        <v>538</v>
      </c>
      <c r="T122" s="29">
        <f t="shared" si="156"/>
        <v>3645</v>
      </c>
    </row>
    <row r="123" spans="1:22" s="11" customFormat="1" ht="31.9" customHeight="1" x14ac:dyDescent="0.25">
      <c r="A123" s="55" t="s">
        <v>39</v>
      </c>
      <c r="B123" s="52" t="str">
        <f>[2]SB!A6</f>
        <v>SB.PY.1.1 Atención Médica a Estudiantes</v>
      </c>
      <c r="C123" s="52"/>
      <c r="D123" s="6" t="str">
        <f>[2]SB!D6</f>
        <v>CONSULTAS</v>
      </c>
      <c r="E123" s="6">
        <f>+[1]SB!B6</f>
        <v>1800</v>
      </c>
      <c r="F123" s="6">
        <f>+[1]SB!C6</f>
        <v>1800</v>
      </c>
      <c r="G123" s="5">
        <f t="shared" ref="G123:G129" si="157">+F123-E123</f>
        <v>0</v>
      </c>
      <c r="H123" s="6">
        <v>3600</v>
      </c>
      <c r="I123" s="35">
        <f>+'[1]METAS SB'!O2+'[1]METAS SB'!AD2</f>
        <v>134</v>
      </c>
      <c r="J123" s="7">
        <f t="shared" ref="J123:J129" si="158">+I123/H123</f>
        <v>3.7222222222222219E-2</v>
      </c>
      <c r="K123" s="8" t="str">
        <f t="shared" si="90"/>
        <v>MUY BAJO</v>
      </c>
      <c r="L123" s="7">
        <f t="shared" ref="L123:L129" si="159">+P123/Q123</f>
        <v>0.32083333333333336</v>
      </c>
      <c r="M123" s="8" t="str">
        <f t="shared" si="91"/>
        <v>BAJO</v>
      </c>
      <c r="N123" s="7">
        <f t="shared" ref="N123:N129" si="160">+J123*L123</f>
        <v>1.1942129629629629E-2</v>
      </c>
      <c r="O123" s="8" t="str">
        <f t="shared" si="92"/>
        <v>MUY BAJO</v>
      </c>
      <c r="P123" s="9">
        <f t="shared" ref="P123:P129" si="161">+S123+T123</f>
        <v>77</v>
      </c>
      <c r="Q123" s="9">
        <f>([1]SB!F6+[1]SB!H6)/1000000</f>
        <v>240</v>
      </c>
      <c r="R123" s="9">
        <f t="shared" ref="R123:R129" si="162">+Q123-P123</f>
        <v>163</v>
      </c>
      <c r="S123" s="9">
        <f>ROUND([1]EV.ACCIONES.aux!M76/1000000*$S$187/$S$188,0)-V123</f>
        <v>0</v>
      </c>
      <c r="T123" s="9">
        <f t="shared" ref="T123:T129" si="163">+U123+V123</f>
        <v>77</v>
      </c>
      <c r="U123" s="11">
        <f>ROUND([2]EV_ACCIONES!$I76/1000000*$S$187/$S$188,0)</f>
        <v>54</v>
      </c>
      <c r="V123" s="11">
        <f>ROUND([3]EV.ACCIONES.aux!$M76/1000000*$S$187/$S$188,0)</f>
        <v>23</v>
      </c>
    </row>
    <row r="124" spans="1:22" s="11" customFormat="1" ht="31.9" customHeight="1" x14ac:dyDescent="0.25">
      <c r="A124" s="56"/>
      <c r="B124" s="52" t="str">
        <f>[2]SB!A7</f>
        <v>SB.PY.1.2 Atención Odontológica a Estudiantes</v>
      </c>
      <c r="C124" s="52"/>
      <c r="D124" s="6" t="str">
        <f>[2]SB!D7</f>
        <v>CONSULTAS</v>
      </c>
      <c r="E124" s="6">
        <f>+[1]SB!B7</f>
        <v>980</v>
      </c>
      <c r="F124" s="6">
        <f>+[1]SB!C7</f>
        <v>980</v>
      </c>
      <c r="G124" s="5">
        <f t="shared" si="157"/>
        <v>0</v>
      </c>
      <c r="H124" s="6">
        <v>1960</v>
      </c>
      <c r="I124" s="35">
        <f>+'[1]METAS SB'!O3+'[1]METAS SB'!AD3</f>
        <v>51</v>
      </c>
      <c r="J124" s="7">
        <f t="shared" si="158"/>
        <v>2.6020408163265306E-2</v>
      </c>
      <c r="K124" s="8" t="str">
        <f t="shared" si="90"/>
        <v>MUY BAJO</v>
      </c>
      <c r="L124" s="7">
        <f t="shared" si="159"/>
        <v>8.2352941176470587E-2</v>
      </c>
      <c r="M124" s="8" t="str">
        <f t="shared" si="91"/>
        <v>MUY BAJO</v>
      </c>
      <c r="N124" s="7">
        <f t="shared" si="160"/>
        <v>2.142857142857143E-3</v>
      </c>
      <c r="O124" s="8" t="str">
        <f t="shared" si="92"/>
        <v>MUY BAJO</v>
      </c>
      <c r="P124" s="9">
        <f t="shared" si="161"/>
        <v>14</v>
      </c>
      <c r="Q124" s="9">
        <f>([1]SB!F7+[1]SB!H7)/1000000</f>
        <v>170</v>
      </c>
      <c r="R124" s="9">
        <f t="shared" si="162"/>
        <v>156</v>
      </c>
      <c r="S124" s="9">
        <f>ROUND([1]EV.ACCIONES.aux!M77/1000000*$S$187/$S$188,0)-V124</f>
        <v>0</v>
      </c>
      <c r="T124" s="9">
        <f t="shared" si="163"/>
        <v>14</v>
      </c>
      <c r="U124" s="11">
        <f>ROUND([2]EV_ACCIONES!$I77/1000000*$S$187/$S$188,0)</f>
        <v>14</v>
      </c>
      <c r="V124" s="11">
        <f>ROUND([3]EV.ACCIONES.aux!$M77/1000000*$S$187/$S$188,0)</f>
        <v>0</v>
      </c>
    </row>
    <row r="125" spans="1:22" s="11" customFormat="1" ht="31.9" customHeight="1" x14ac:dyDescent="0.25">
      <c r="A125" s="56"/>
      <c r="B125" s="52" t="str">
        <f>[2]SB!A8</f>
        <v>SB.PY.1.3 Atención Psicológico a Estudiantes</v>
      </c>
      <c r="C125" s="52"/>
      <c r="D125" s="6" t="str">
        <f>[2]SB!D8</f>
        <v>CONSULTAS</v>
      </c>
      <c r="E125" s="6">
        <f>+[1]SB!B8</f>
        <v>1300</v>
      </c>
      <c r="F125" s="6">
        <f>+[1]SB!C8</f>
        <v>1300</v>
      </c>
      <c r="G125" s="5">
        <f t="shared" si="157"/>
        <v>0</v>
      </c>
      <c r="H125" s="6">
        <v>2600</v>
      </c>
      <c r="I125" s="35">
        <f>+'[1]METAS SB'!O4+'[1]METAS SB'!AD4</f>
        <v>3083</v>
      </c>
      <c r="J125" s="7">
        <f t="shared" si="158"/>
        <v>1.1857692307692307</v>
      </c>
      <c r="K125" s="8" t="str">
        <f t="shared" si="90"/>
        <v>MUY ALTO</v>
      </c>
      <c r="L125" s="7">
        <f t="shared" si="159"/>
        <v>0.34</v>
      </c>
      <c r="M125" s="8" t="str">
        <f t="shared" si="91"/>
        <v>BAJO</v>
      </c>
      <c r="N125" s="7">
        <f t="shared" si="160"/>
        <v>0.40316153846153846</v>
      </c>
      <c r="O125" s="8" t="str">
        <f t="shared" si="92"/>
        <v>MEDIO</v>
      </c>
      <c r="P125" s="9">
        <f t="shared" si="161"/>
        <v>68</v>
      </c>
      <c r="Q125" s="9">
        <f>([1]SB!F8+[1]SB!H8)/1000000</f>
        <v>200</v>
      </c>
      <c r="R125" s="9">
        <f t="shared" si="162"/>
        <v>132</v>
      </c>
      <c r="S125" s="9">
        <f>ROUND([1]EV.ACCIONES.aux!M78/1000000*$S$187/$S$188,0)-V125</f>
        <v>0</v>
      </c>
      <c r="T125" s="9">
        <f t="shared" si="163"/>
        <v>68</v>
      </c>
      <c r="U125" s="11">
        <f>ROUND([2]EV_ACCIONES!$I78/1000000*$S$187/$S$188,0)</f>
        <v>44</v>
      </c>
      <c r="V125" s="11">
        <f>ROUND([3]EV.ACCIONES.aux!$M78/1000000*$S$187/$S$188,0)</f>
        <v>24</v>
      </c>
    </row>
    <row r="126" spans="1:22" s="11" customFormat="1" ht="31.9" customHeight="1" x14ac:dyDescent="0.25">
      <c r="A126" s="56"/>
      <c r="B126" s="52" t="str">
        <f>[2]SB!A9</f>
        <v>SB.PY.1.4 PyP - Promoción y prevención médica</v>
      </c>
      <c r="C126" s="52"/>
      <c r="D126" s="6" t="str">
        <f>[2]SB!D9</f>
        <v>CAMPAÑAS</v>
      </c>
      <c r="E126" s="6">
        <f>+[1]SB!B9</f>
        <v>10</v>
      </c>
      <c r="F126" s="6">
        <f>+[1]SB!C9</f>
        <v>10</v>
      </c>
      <c r="G126" s="5">
        <f t="shared" si="157"/>
        <v>0</v>
      </c>
      <c r="H126" s="6">
        <v>20</v>
      </c>
      <c r="I126" s="35">
        <f>+'[1]METAS SB'!O5+'[1]METAS SB'!AD5</f>
        <v>7</v>
      </c>
      <c r="J126" s="7">
        <f t="shared" si="158"/>
        <v>0.35</v>
      </c>
      <c r="K126" s="8" t="str">
        <f t="shared" si="90"/>
        <v>BAJO</v>
      </c>
      <c r="L126" s="7">
        <f t="shared" si="159"/>
        <v>0</v>
      </c>
      <c r="M126" s="8" t="str">
        <f t="shared" si="91"/>
        <v>MUY BAJO</v>
      </c>
      <c r="N126" s="7">
        <f t="shared" si="160"/>
        <v>0</v>
      </c>
      <c r="O126" s="8" t="str">
        <f t="shared" si="92"/>
        <v>MUY BAJO</v>
      </c>
      <c r="P126" s="9">
        <f t="shared" si="161"/>
        <v>0</v>
      </c>
      <c r="Q126" s="9">
        <f>([1]SB!F9+[1]SB!H9)/1000000</f>
        <v>40</v>
      </c>
      <c r="R126" s="9">
        <f t="shared" si="162"/>
        <v>40</v>
      </c>
      <c r="S126" s="9">
        <f>ROUND([1]EV.ACCIONES.aux!M79/1000000*$S$187/$S$188,0)-V126</f>
        <v>0</v>
      </c>
      <c r="T126" s="9">
        <f t="shared" si="163"/>
        <v>0</v>
      </c>
      <c r="U126" s="11">
        <f>ROUND([2]EV_ACCIONES!$I79/1000000*$S$187/$S$188,0)</f>
        <v>0</v>
      </c>
      <c r="V126" s="11">
        <f>ROUND([3]EV.ACCIONES.aux!$M79/1000000*$S$187/$S$188,0)</f>
        <v>0</v>
      </c>
    </row>
    <row r="127" spans="1:22" s="11" customFormat="1" ht="31.9" customHeight="1" x14ac:dyDescent="0.25">
      <c r="A127" s="56"/>
      <c r="B127" s="52" t="str">
        <f>[2]SB!A10</f>
        <v>SB.PY.1.5 PyP - Promoción y Prevención odontológica</v>
      </c>
      <c r="C127" s="52"/>
      <c r="D127" s="6" t="str">
        <f>[2]SB!D10</f>
        <v>CAMPAÑAS</v>
      </c>
      <c r="E127" s="6">
        <f>+[1]SB!B10</f>
        <v>10</v>
      </c>
      <c r="F127" s="6">
        <f>+[1]SB!C10</f>
        <v>10</v>
      </c>
      <c r="G127" s="5">
        <f t="shared" si="157"/>
        <v>0</v>
      </c>
      <c r="H127" s="6">
        <v>20</v>
      </c>
      <c r="I127" s="35">
        <f>+'[1]METAS SB'!O6+'[1]METAS SB'!AD6</f>
        <v>8</v>
      </c>
      <c r="J127" s="7">
        <f t="shared" si="158"/>
        <v>0.4</v>
      </c>
      <c r="K127" s="8" t="str">
        <f t="shared" si="90"/>
        <v>BAJO</v>
      </c>
      <c r="L127" s="7">
        <f t="shared" si="159"/>
        <v>0</v>
      </c>
      <c r="M127" s="8" t="str">
        <f t="shared" si="91"/>
        <v>MUY BAJO</v>
      </c>
      <c r="N127" s="7">
        <f t="shared" si="160"/>
        <v>0</v>
      </c>
      <c r="O127" s="8" t="str">
        <f t="shared" si="92"/>
        <v>MUY BAJO</v>
      </c>
      <c r="P127" s="9">
        <f t="shared" si="161"/>
        <v>0</v>
      </c>
      <c r="Q127" s="9">
        <f>([1]SB!F10+[1]SB!H10)/1000000</f>
        <v>34</v>
      </c>
      <c r="R127" s="9">
        <f t="shared" si="162"/>
        <v>34</v>
      </c>
      <c r="S127" s="9">
        <f>ROUND([1]EV.ACCIONES.aux!M80/1000000*$S$187/$S$188,0)-V127</f>
        <v>0</v>
      </c>
      <c r="T127" s="9">
        <f t="shared" si="163"/>
        <v>0</v>
      </c>
      <c r="U127" s="11">
        <f>ROUND([2]EV_ACCIONES!$I80/1000000*$S$187/$S$188,0)</f>
        <v>0</v>
      </c>
      <c r="V127" s="11">
        <f>ROUND([3]EV.ACCIONES.aux!$M80/1000000*$S$187/$S$188,0)</f>
        <v>0</v>
      </c>
    </row>
    <row r="128" spans="1:22" s="11" customFormat="1" ht="31.9" customHeight="1" x14ac:dyDescent="0.25">
      <c r="A128" s="56"/>
      <c r="B128" s="52" t="str">
        <f>[2]SB!A11</f>
        <v>SB.PY.1.6 PyP - Promoción y prevención sicológica en Población Vulnerable</v>
      </c>
      <c r="C128" s="52"/>
      <c r="D128" s="6" t="str">
        <f>[2]SB!D11</f>
        <v>CAMPAÑAS</v>
      </c>
      <c r="E128" s="6">
        <f>+[1]SB!B11</f>
        <v>10</v>
      </c>
      <c r="F128" s="6">
        <f>+[1]SB!C11</f>
        <v>10</v>
      </c>
      <c r="G128" s="5">
        <f t="shared" si="157"/>
        <v>0</v>
      </c>
      <c r="H128" s="6">
        <v>20</v>
      </c>
      <c r="I128" s="35">
        <f>+'[1]METAS SB'!O7+'[1]METAS SB'!AD7</f>
        <v>9</v>
      </c>
      <c r="J128" s="7">
        <f t="shared" si="158"/>
        <v>0.45</v>
      </c>
      <c r="K128" s="8" t="str">
        <f t="shared" si="90"/>
        <v>MEDIO</v>
      </c>
      <c r="L128" s="7">
        <f t="shared" si="159"/>
        <v>0.2073170731707317</v>
      </c>
      <c r="M128" s="8" t="str">
        <f t="shared" si="91"/>
        <v>BAJO</v>
      </c>
      <c r="N128" s="7">
        <f t="shared" si="160"/>
        <v>9.3292682926829268E-2</v>
      </c>
      <c r="O128" s="8" t="str">
        <f t="shared" si="92"/>
        <v>MUY BAJO</v>
      </c>
      <c r="P128" s="9">
        <f t="shared" si="161"/>
        <v>17</v>
      </c>
      <c r="Q128" s="9">
        <f>([1]SB!F11+[1]SB!H11)/1000000</f>
        <v>82</v>
      </c>
      <c r="R128" s="9">
        <f t="shared" si="162"/>
        <v>65</v>
      </c>
      <c r="S128" s="9">
        <f>ROUND([1]EV.ACCIONES.aux!M81/1000000*$S$187/$S$188,0)-V128</f>
        <v>0</v>
      </c>
      <c r="T128" s="9">
        <f t="shared" si="163"/>
        <v>17</v>
      </c>
      <c r="U128" s="11">
        <f>ROUND([2]EV_ACCIONES!$I81/1000000*$S$187/$S$188,0)</f>
        <v>11</v>
      </c>
      <c r="V128" s="11">
        <f>ROUND([3]EV.ACCIONES.aux!$M81/1000000*$S$187/$S$188,0)</f>
        <v>6</v>
      </c>
    </row>
    <row r="129" spans="1:22" s="11" customFormat="1" ht="31.9" customHeight="1" x14ac:dyDescent="0.25">
      <c r="A129" s="56"/>
      <c r="B129" s="52" t="str">
        <f>[2]SB!A12</f>
        <v>SB.PY.1.7 Formación sanologica para la comunidad universitaria "USCO SALUDABLE"</v>
      </c>
      <c r="C129" s="52"/>
      <c r="D129" s="6" t="str">
        <f>[2]SB!D12</f>
        <v>ASISTENTES</v>
      </c>
      <c r="E129" s="6">
        <f>+[1]SB!B12</f>
        <v>6694</v>
      </c>
      <c r="F129" s="6">
        <f>+[1]SB!C12</f>
        <v>6694</v>
      </c>
      <c r="G129" s="5">
        <f t="shared" si="157"/>
        <v>0</v>
      </c>
      <c r="H129" s="6">
        <v>13388</v>
      </c>
      <c r="I129" s="35">
        <f>+'[1]METAS SB'!O8+'[1]METAS SB'!AD8</f>
        <v>3080</v>
      </c>
      <c r="J129" s="7">
        <f t="shared" si="158"/>
        <v>0.23005676725425755</v>
      </c>
      <c r="K129" s="8" t="str">
        <f t="shared" si="90"/>
        <v>BAJO</v>
      </c>
      <c r="L129" s="7">
        <f t="shared" si="159"/>
        <v>0.3546099290780142</v>
      </c>
      <c r="M129" s="8" t="str">
        <f t="shared" si="91"/>
        <v>BAJO</v>
      </c>
      <c r="N129" s="7">
        <f t="shared" si="160"/>
        <v>8.1580413919949496E-2</v>
      </c>
      <c r="O129" s="8" t="str">
        <f t="shared" si="92"/>
        <v>MUY BAJO</v>
      </c>
      <c r="P129" s="9">
        <f t="shared" si="161"/>
        <v>100</v>
      </c>
      <c r="Q129" s="9">
        <f>([1]SB!F12+[1]SB!H12)/1000000</f>
        <v>282</v>
      </c>
      <c r="R129" s="9">
        <f t="shared" si="162"/>
        <v>182</v>
      </c>
      <c r="S129" s="9">
        <f>ROUND([1]EV.ACCIONES.aux!M82/1000000*$S$187/$S$188,0)-V129</f>
        <v>0</v>
      </c>
      <c r="T129" s="9">
        <f t="shared" si="163"/>
        <v>100</v>
      </c>
      <c r="U129" s="11">
        <f>ROUND([2]EV_ACCIONES!$I82/1000000*$S$187/$S$188,0)</f>
        <v>66</v>
      </c>
      <c r="V129" s="11">
        <f>ROUND([3]EV.ACCIONES.aux!$M82/1000000*$S$187/$S$188,0)</f>
        <v>34</v>
      </c>
    </row>
    <row r="130" spans="1:22" ht="28.15" customHeight="1" thickBot="1" x14ac:dyDescent="0.3">
      <c r="A130" s="56"/>
      <c r="B130" s="53" t="s">
        <v>40</v>
      </c>
      <c r="C130" s="53"/>
      <c r="D130" s="23"/>
      <c r="E130" s="23"/>
      <c r="F130" s="23"/>
      <c r="G130" s="23"/>
      <c r="H130" s="23"/>
      <c r="I130" s="23"/>
      <c r="J130" s="24">
        <f>AVERAGE(J123:J129)</f>
        <v>0.38272408977271083</v>
      </c>
      <c r="K130" s="8" t="str">
        <f t="shared" si="90"/>
        <v>BAJO</v>
      </c>
      <c r="L130" s="24">
        <f>[1]EV.PROYECTOS!L23</f>
        <v>0.23273568686868687</v>
      </c>
      <c r="M130" s="8" t="str">
        <f t="shared" si="91"/>
        <v>BAJO</v>
      </c>
      <c r="N130" s="24">
        <f>+J130*L130</f>
        <v>8.9073553914444825E-2</v>
      </c>
      <c r="O130" s="8" t="str">
        <f t="shared" si="92"/>
        <v>MUY BAJO</v>
      </c>
      <c r="P130" s="14">
        <f>SUM(P123:P129)</f>
        <v>276</v>
      </c>
      <c r="Q130" s="14">
        <f t="shared" ref="Q130:T130" si="164">SUM(Q123:Q129)</f>
        <v>1048</v>
      </c>
      <c r="R130" s="14">
        <f t="shared" si="164"/>
        <v>772</v>
      </c>
      <c r="S130" s="14">
        <f t="shared" si="164"/>
        <v>0</v>
      </c>
      <c r="T130" s="14">
        <f t="shared" si="164"/>
        <v>276</v>
      </c>
    </row>
    <row r="131" spans="1:22" s="11" customFormat="1" ht="28.15" customHeight="1" x14ac:dyDescent="0.25">
      <c r="A131" s="56"/>
      <c r="B131" s="52" t="str">
        <f>[2]SB!A18</f>
        <v>SB.PY.2.1 Formación Deportiva en las diferentes disciplinas.</v>
      </c>
      <c r="C131" s="52"/>
      <c r="D131" s="6" t="str">
        <f>[2]SB!D18</f>
        <v>EVENTOS</v>
      </c>
      <c r="E131" s="6">
        <f>+[1]SB!B18</f>
        <v>32</v>
      </c>
      <c r="F131" s="6">
        <f>+[1]SB!C18</f>
        <v>32</v>
      </c>
      <c r="G131" s="5">
        <f t="shared" ref="G131:G133" si="165">+F131-E131</f>
        <v>0</v>
      </c>
      <c r="H131" s="6">
        <v>64</v>
      </c>
      <c r="I131" s="33">
        <f>+'[1]METAS SB'!O9+'[1]METAS SB'!AD9</f>
        <v>135</v>
      </c>
      <c r="J131" s="7">
        <f t="shared" ref="J131:J133" si="166">+I131/H131</f>
        <v>2.109375</v>
      </c>
      <c r="K131" s="8" t="str">
        <f t="shared" si="90"/>
        <v>MUY ALTO</v>
      </c>
      <c r="L131" s="7">
        <f t="shared" ref="L131:L133" si="167">+P131/Q131</f>
        <v>0.24691358024691357</v>
      </c>
      <c r="M131" s="8" t="str">
        <f t="shared" si="91"/>
        <v>BAJO</v>
      </c>
      <c r="N131" s="7">
        <f t="shared" ref="N131:N133" si="168">+J131*L131</f>
        <v>0.52083333333333326</v>
      </c>
      <c r="O131" s="8" t="str">
        <f t="shared" si="92"/>
        <v>MEDIO</v>
      </c>
      <c r="P131" s="9">
        <f t="shared" ref="P131:P133" si="169">+S131+T131</f>
        <v>48</v>
      </c>
      <c r="Q131" s="9">
        <f>([1]SB!F18+[1]SB!H18)/1000000</f>
        <v>194.4</v>
      </c>
      <c r="R131" s="9">
        <f t="shared" ref="R131:R133" si="170">+Q131-P131</f>
        <v>146.4</v>
      </c>
      <c r="S131" s="9">
        <f>ROUND([1]EV.ACCIONES.aux!M83/1000000*$S$187/$S$188,0)-V131</f>
        <v>3</v>
      </c>
      <c r="T131" s="9">
        <f t="shared" ref="T131:T133" si="171">+U131+V131</f>
        <v>45</v>
      </c>
      <c r="U131" s="11">
        <f>ROUND([2]EV_ACCIONES!$I83/1000000*$S$187/$S$188,0)</f>
        <v>45</v>
      </c>
      <c r="V131" s="11">
        <f>ROUND([3]EV.ACCIONES.aux!$M83/1000000*$S$187/$S$188,0)</f>
        <v>0</v>
      </c>
    </row>
    <row r="132" spans="1:22" s="11" customFormat="1" ht="28.15" customHeight="1" x14ac:dyDescent="0.25">
      <c r="A132" s="56"/>
      <c r="B132" s="52" t="str">
        <f>[2]SB!A19</f>
        <v>SB.PY.2.2 Representación - Competitiva</v>
      </c>
      <c r="C132" s="52"/>
      <c r="D132" s="6" t="str">
        <f>[2]SB!D19</f>
        <v>EVENTOS</v>
      </c>
      <c r="E132" s="6">
        <f>+[1]SB!B19</f>
        <v>116</v>
      </c>
      <c r="F132" s="6">
        <f>+[1]SB!C19</f>
        <v>116</v>
      </c>
      <c r="G132" s="5">
        <f t="shared" si="165"/>
        <v>0</v>
      </c>
      <c r="H132" s="6">
        <v>232</v>
      </c>
      <c r="I132" s="33">
        <f>+'[1]METAS SB'!O10+'[1]METAS SB'!AD10</f>
        <v>151</v>
      </c>
      <c r="J132" s="7">
        <f t="shared" si="166"/>
        <v>0.65086206896551724</v>
      </c>
      <c r="K132" s="8" t="str">
        <f t="shared" si="90"/>
        <v>ALTO</v>
      </c>
      <c r="L132" s="7">
        <f t="shared" si="167"/>
        <v>0.39667458432304037</v>
      </c>
      <c r="M132" s="8" t="str">
        <f t="shared" si="91"/>
        <v>BAJO</v>
      </c>
      <c r="N132" s="7">
        <f t="shared" si="168"/>
        <v>0.25818044065853057</v>
      </c>
      <c r="O132" s="8" t="str">
        <f t="shared" si="92"/>
        <v>BAJO</v>
      </c>
      <c r="P132" s="9">
        <f t="shared" si="169"/>
        <v>334</v>
      </c>
      <c r="Q132" s="9">
        <f>([1]SB!F19+[1]SB!H19)/1000000</f>
        <v>842</v>
      </c>
      <c r="R132" s="9">
        <f t="shared" si="170"/>
        <v>508</v>
      </c>
      <c r="S132" s="9">
        <f>ROUND([1]EV.ACCIONES.aux!M84/1000000*$S$187/$S$188,0)-V132</f>
        <v>2</v>
      </c>
      <c r="T132" s="9">
        <f t="shared" si="171"/>
        <v>332</v>
      </c>
      <c r="U132" s="11">
        <f>ROUND([2]EV_ACCIONES!$I84/1000000*$S$187/$S$188,0)</f>
        <v>195</v>
      </c>
      <c r="V132" s="11">
        <f>ROUND([3]EV.ACCIONES.aux!$M84/1000000*$S$187/$S$188,0)</f>
        <v>137</v>
      </c>
    </row>
    <row r="133" spans="1:22" s="11" customFormat="1" ht="28.15" customHeight="1" x14ac:dyDescent="0.25">
      <c r="A133" s="56"/>
      <c r="B133" s="52" t="str">
        <f>[2]SB!A20</f>
        <v>SB.PY.2.3 Recreación y Aprovechamiento del Tiempo Libre</v>
      </c>
      <c r="C133" s="52"/>
      <c r="D133" s="6" t="str">
        <f>[2]SB!D20</f>
        <v>EVENTOS</v>
      </c>
      <c r="E133" s="6">
        <f>+[1]SB!B20</f>
        <v>83</v>
      </c>
      <c r="F133" s="6">
        <f>+[1]SB!C20</f>
        <v>83</v>
      </c>
      <c r="G133" s="5">
        <f t="shared" si="165"/>
        <v>0</v>
      </c>
      <c r="H133" s="6">
        <v>166</v>
      </c>
      <c r="I133" s="33">
        <f>+'[1]METAS SB'!O11+'[1]METAS SB'!AD11</f>
        <v>130</v>
      </c>
      <c r="J133" s="7">
        <f t="shared" si="166"/>
        <v>0.7831325301204819</v>
      </c>
      <c r="K133" s="8" t="str">
        <f t="shared" si="90"/>
        <v>ALTO</v>
      </c>
      <c r="L133" s="7">
        <f t="shared" si="167"/>
        <v>0</v>
      </c>
      <c r="M133" s="8" t="str">
        <f t="shared" si="91"/>
        <v>MUY BAJO</v>
      </c>
      <c r="N133" s="7">
        <f t="shared" si="168"/>
        <v>0</v>
      </c>
      <c r="O133" s="8" t="str">
        <f t="shared" si="92"/>
        <v>MUY BAJO</v>
      </c>
      <c r="P133" s="9">
        <f t="shared" si="169"/>
        <v>0</v>
      </c>
      <c r="Q133" s="9">
        <f>([1]SB!F20+[1]SB!H20)/1000000</f>
        <v>260</v>
      </c>
      <c r="R133" s="9">
        <f t="shared" si="170"/>
        <v>260</v>
      </c>
      <c r="S133" s="9">
        <f>ROUND([1]EV.ACCIONES.aux!M85/1000000*$S$187/$S$188,0)-V133</f>
        <v>0</v>
      </c>
      <c r="T133" s="9">
        <f t="shared" si="171"/>
        <v>0</v>
      </c>
      <c r="U133" s="11">
        <f>ROUND([2]EV_ACCIONES!$I85/1000000*$S$187/$S$188,0)</f>
        <v>0</v>
      </c>
      <c r="V133" s="11">
        <f>ROUND([3]EV.ACCIONES.aux!$M85/1000000*$S$187/$S$188,0)</f>
        <v>0</v>
      </c>
    </row>
    <row r="134" spans="1:22" ht="28.15" customHeight="1" thickBot="1" x14ac:dyDescent="0.3">
      <c r="A134" s="56"/>
      <c r="B134" s="53" t="s">
        <v>41</v>
      </c>
      <c r="C134" s="53"/>
      <c r="D134" s="23"/>
      <c r="E134" s="23"/>
      <c r="F134" s="23"/>
      <c r="G134" s="23"/>
      <c r="H134" s="23"/>
      <c r="I134" s="23"/>
      <c r="J134" s="24">
        <f>AVERAGE(J131:J133)</f>
        <v>1.1811231996953331</v>
      </c>
      <c r="K134" s="8" t="str">
        <f t="shared" si="90"/>
        <v>MUY ALTO</v>
      </c>
      <c r="L134" s="24">
        <f>[1]EV.PROYECTOS!L24</f>
        <v>0.22251055688622753</v>
      </c>
      <c r="M134" s="8" t="str">
        <f t="shared" si="91"/>
        <v>BAJO</v>
      </c>
      <c r="N134" s="24">
        <f>+J134*L134</f>
        <v>0.2628123809154515</v>
      </c>
      <c r="O134" s="8" t="str">
        <f t="shared" si="92"/>
        <v>BAJO</v>
      </c>
      <c r="P134" s="14">
        <f>SUM(P131:P133)</f>
        <v>382</v>
      </c>
      <c r="Q134" s="14">
        <f t="shared" ref="Q134:T134" si="172">SUM(Q131:Q133)</f>
        <v>1296.4000000000001</v>
      </c>
      <c r="R134" s="14">
        <f t="shared" si="172"/>
        <v>914.4</v>
      </c>
      <c r="S134" s="14">
        <f t="shared" si="172"/>
        <v>5</v>
      </c>
      <c r="T134" s="14">
        <f t="shared" si="172"/>
        <v>377</v>
      </c>
    </row>
    <row r="135" spans="1:22" s="11" customFormat="1" ht="28.15" customHeight="1" x14ac:dyDescent="0.25">
      <c r="A135" s="56"/>
      <c r="B135" s="52" t="str">
        <f>[2]SB!A26</f>
        <v>SB.PY.3.1 Formación en modalidades artístiscas</v>
      </c>
      <c r="C135" s="52"/>
      <c r="D135" s="6" t="str">
        <f>[2]SB!D26</f>
        <v>TALLERES</v>
      </c>
      <c r="E135" s="6">
        <f>+[1]SB!B26</f>
        <v>16</v>
      </c>
      <c r="F135" s="6">
        <f>+[1]SB!C26</f>
        <v>16</v>
      </c>
      <c r="G135" s="5">
        <f t="shared" ref="G135:G136" si="173">+F135-E135</f>
        <v>0</v>
      </c>
      <c r="H135" s="6">
        <v>32</v>
      </c>
      <c r="I135" s="33">
        <f>+'[1]METAS SB'!O12+'[1]METAS SB'!AD12</f>
        <v>175</v>
      </c>
      <c r="J135" s="7">
        <f t="shared" ref="J135:J136" si="174">+I135/H135</f>
        <v>5.46875</v>
      </c>
      <c r="K135" s="8" t="str">
        <f t="shared" si="90"/>
        <v>MUY ALTO</v>
      </c>
      <c r="L135" s="7">
        <f t="shared" ref="L135:L136" si="175">+P135/Q135</f>
        <v>0.30395210687442398</v>
      </c>
      <c r="M135" s="8" t="str">
        <f t="shared" si="91"/>
        <v>BAJO</v>
      </c>
      <c r="N135" s="7">
        <f t="shared" ref="N135:N136" si="176">+J135*L135</f>
        <v>1.6622380844695062</v>
      </c>
      <c r="O135" s="8" t="str">
        <f t="shared" si="92"/>
        <v>MUY ALTO</v>
      </c>
      <c r="P135" s="9">
        <f t="shared" ref="P135:P140" si="177">+S135+T135</f>
        <v>125</v>
      </c>
      <c r="Q135" s="9">
        <f>([1]SB!F26+[1]SB!H26)/1000000</f>
        <v>411.24900000000002</v>
      </c>
      <c r="R135" s="9">
        <f t="shared" ref="R135:R140" si="178">+Q135-P135</f>
        <v>286.24900000000002</v>
      </c>
      <c r="S135" s="9">
        <f>ROUND([1]EV.ACCIONES.aux!M86/1000000*$S$187/$S$188,0)-V135</f>
        <v>6</v>
      </c>
      <c r="T135" s="9">
        <f t="shared" ref="T135:T136" si="179">+U135+V135</f>
        <v>119</v>
      </c>
      <c r="U135" s="11">
        <f>ROUND([2]EV_ACCIONES!$I86/1000000*$S$187/$S$188,0)</f>
        <v>119</v>
      </c>
      <c r="V135" s="11">
        <f>ROUND([3]EV.ACCIONES.aux!$M86/1000000*$S$187/$S$188,0)</f>
        <v>0</v>
      </c>
    </row>
    <row r="136" spans="1:22" s="11" customFormat="1" ht="28.15" customHeight="1" x14ac:dyDescent="0.25">
      <c r="A136" s="56"/>
      <c r="B136" s="52" t="str">
        <f>[2]SB!A27</f>
        <v>SB.PY.3.2 Puestas en escena de los grupos artísticos</v>
      </c>
      <c r="C136" s="52"/>
      <c r="D136" s="6" t="str">
        <f>[2]SB!D27</f>
        <v>EVENTOS</v>
      </c>
      <c r="E136" s="6">
        <f>+[1]SB!B27</f>
        <v>260</v>
      </c>
      <c r="F136" s="6">
        <f>+[1]SB!C27</f>
        <v>260</v>
      </c>
      <c r="G136" s="5">
        <f t="shared" si="173"/>
        <v>0</v>
      </c>
      <c r="H136" s="6">
        <v>520</v>
      </c>
      <c r="I136" s="33">
        <f>+'[1]METAS SB'!O13+'[1]METAS SB'!AD13</f>
        <v>870</v>
      </c>
      <c r="J136" s="7">
        <f t="shared" si="174"/>
        <v>1.6730769230769231</v>
      </c>
      <c r="K136" s="8" t="str">
        <f t="shared" si="90"/>
        <v>MUY ALTO</v>
      </c>
      <c r="L136" s="7">
        <f t="shared" si="175"/>
        <v>0.44498588446415671</v>
      </c>
      <c r="M136" s="8" t="str">
        <f t="shared" si="91"/>
        <v>MEDIO</v>
      </c>
      <c r="N136" s="7">
        <f t="shared" si="176"/>
        <v>0.74449561439195455</v>
      </c>
      <c r="O136" s="8" t="str">
        <f t="shared" si="92"/>
        <v>ALTO</v>
      </c>
      <c r="P136" s="9">
        <f t="shared" si="177"/>
        <v>366</v>
      </c>
      <c r="Q136" s="9">
        <f>([1]SB!F27+[1]SB!H27)/1000000</f>
        <v>822.49800000000005</v>
      </c>
      <c r="R136" s="9">
        <f t="shared" si="178"/>
        <v>456.49800000000005</v>
      </c>
      <c r="S136" s="9">
        <f>ROUND([1]EV.ACCIONES.aux!M87/1000000*$S$187/$S$188,0)-V136</f>
        <v>0</v>
      </c>
      <c r="T136" s="9">
        <f t="shared" si="179"/>
        <v>366</v>
      </c>
      <c r="U136" s="11">
        <f>ROUND([2]EV_ACCIONES!$I87/1000000*$S$187/$S$188,0)</f>
        <v>213</v>
      </c>
      <c r="V136" s="11">
        <f>ROUND([3]EV.ACCIONES.aux!$M87/1000000*$S$187/$S$188,0)</f>
        <v>153</v>
      </c>
    </row>
    <row r="137" spans="1:22" ht="28.15" customHeight="1" thickBot="1" x14ac:dyDescent="0.3">
      <c r="A137" s="56"/>
      <c r="B137" s="53" t="s">
        <v>42</v>
      </c>
      <c r="C137" s="53"/>
      <c r="D137" s="23"/>
      <c r="E137" s="23"/>
      <c r="F137" s="23"/>
      <c r="G137" s="23"/>
      <c r="H137" s="23"/>
      <c r="I137" s="23"/>
      <c r="J137" s="24">
        <f>AVERAGE(J135:J136)</f>
        <v>3.5709134615384617</v>
      </c>
      <c r="K137" s="8" t="str">
        <f t="shared" si="90"/>
        <v>MUY ALTO</v>
      </c>
      <c r="L137" s="24">
        <f>[1]EV.PROYECTOS!L25</f>
        <v>0.29491366726253354</v>
      </c>
      <c r="M137" s="8" t="str">
        <f t="shared" si="91"/>
        <v>BAJO</v>
      </c>
      <c r="N137" s="24">
        <f>+J137*L137</f>
        <v>1.0531111844194558</v>
      </c>
      <c r="O137" s="8" t="str">
        <f t="shared" si="92"/>
        <v>MUY ALTO</v>
      </c>
      <c r="P137" s="14">
        <f t="shared" si="177"/>
        <v>501</v>
      </c>
      <c r="Q137" s="14">
        <f>+'[4]T-4 2020'!$M27+ROUND([1]EV.PROYECTOS!E25/1000000,0)</f>
        <v>1234</v>
      </c>
      <c r="R137" s="14">
        <f t="shared" si="178"/>
        <v>733</v>
      </c>
      <c r="S137" s="14">
        <f>ROUND(SUM([1]EV.PROYECTOS!H25)/1000000*($S$187/$S$188),0)-'[5]T1-2021'!$O27</f>
        <v>3</v>
      </c>
      <c r="T137" s="14">
        <f>+'[5]T1-2021'!$L27</f>
        <v>498</v>
      </c>
    </row>
    <row r="138" spans="1:22" s="11" customFormat="1" ht="28.15" customHeight="1" x14ac:dyDescent="0.25">
      <c r="A138" s="56"/>
      <c r="B138" s="52" t="str">
        <f>[2]SB!A33</f>
        <v>SB.PY.4.1 Interacción entre los integrantes de la comunidad universitaria</v>
      </c>
      <c r="C138" s="52"/>
      <c r="D138" s="6" t="str">
        <f>[2]SB!D33</f>
        <v>EVENTOS</v>
      </c>
      <c r="E138" s="6">
        <f>+[1]SB!B33</f>
        <v>13</v>
      </c>
      <c r="F138" s="6">
        <f>+[1]SB!C33</f>
        <v>15</v>
      </c>
      <c r="G138" s="5">
        <f t="shared" ref="G138:G140" si="180">+F138-E138</f>
        <v>2</v>
      </c>
      <c r="H138" s="6">
        <v>26</v>
      </c>
      <c r="I138" s="33">
        <f>+'[1]METAS SB'!O14+'[1]METAS SB'!AD14</f>
        <v>18</v>
      </c>
      <c r="J138" s="7">
        <f t="shared" ref="J138:J140" si="181">+I138/H138</f>
        <v>0.69230769230769229</v>
      </c>
      <c r="K138" s="8" t="str">
        <f t="shared" si="90"/>
        <v>ALTO</v>
      </c>
      <c r="L138" s="7">
        <f t="shared" ref="L138:L140" si="182">+P138/Q138</f>
        <v>0.37142857142857144</v>
      </c>
      <c r="M138" s="8" t="str">
        <f t="shared" si="91"/>
        <v>BAJO</v>
      </c>
      <c r="N138" s="7">
        <f t="shared" ref="N138:N140" si="183">+J138*L138</f>
        <v>0.25714285714285717</v>
      </c>
      <c r="O138" s="8" t="str">
        <f t="shared" si="92"/>
        <v>BAJO</v>
      </c>
      <c r="P138" s="9">
        <f t="shared" si="177"/>
        <v>52</v>
      </c>
      <c r="Q138" s="9">
        <f>([1]SB!F33+[1]SB!H33)/1000000</f>
        <v>140</v>
      </c>
      <c r="R138" s="9">
        <f t="shared" si="178"/>
        <v>88</v>
      </c>
      <c r="S138" s="9">
        <f>ROUND([1]EV.ACCIONES.aux!M88/1000000*$S$187/$S$188,0)-V138</f>
        <v>24</v>
      </c>
      <c r="T138" s="9">
        <f t="shared" ref="T138:T140" si="184">+U138+V138</f>
        <v>28</v>
      </c>
      <c r="U138" s="11">
        <f>ROUND([2]EV_ACCIONES!$I88/1000000*$S$187/$S$188,0)</f>
        <v>26</v>
      </c>
      <c r="V138" s="11">
        <f>ROUND([3]EV.ACCIONES.aux!$M88/1000000*$S$187/$S$188,0)</f>
        <v>2</v>
      </c>
    </row>
    <row r="139" spans="1:22" s="11" customFormat="1" ht="28.15" customHeight="1" x14ac:dyDescent="0.25">
      <c r="A139" s="56"/>
      <c r="B139" s="52" t="str">
        <f>[2]SB!A34</f>
        <v>SB.PY.4.2 Atención a la población con enfoque diferencial</v>
      </c>
      <c r="C139" s="52"/>
      <c r="D139" s="6" t="str">
        <f>[2]SB!D34</f>
        <v>ESTUDIANTES</v>
      </c>
      <c r="E139" s="6">
        <f>+[1]SB!B34</f>
        <v>100</v>
      </c>
      <c r="F139" s="6">
        <f>+[1]SB!C34</f>
        <v>119</v>
      </c>
      <c r="G139" s="5">
        <f t="shared" si="180"/>
        <v>19</v>
      </c>
      <c r="H139" s="6">
        <v>215</v>
      </c>
      <c r="I139" s="33">
        <f>+'[1]METAS SB'!O15+'[1]METAS SB'!AD15</f>
        <v>169</v>
      </c>
      <c r="J139" s="7">
        <f t="shared" si="181"/>
        <v>0.78604651162790695</v>
      </c>
      <c r="K139" s="8" t="str">
        <f t="shared" si="90"/>
        <v>ALTO</v>
      </c>
      <c r="L139" s="7">
        <f t="shared" si="182"/>
        <v>0.51041666666666663</v>
      </c>
      <c r="M139" s="8" t="str">
        <f t="shared" si="91"/>
        <v>MEDIO</v>
      </c>
      <c r="N139" s="7">
        <f t="shared" si="183"/>
        <v>0.40121124031007749</v>
      </c>
      <c r="O139" s="8" t="str">
        <f t="shared" si="92"/>
        <v>MEDIO</v>
      </c>
      <c r="P139" s="9">
        <f t="shared" si="177"/>
        <v>98</v>
      </c>
      <c r="Q139" s="9">
        <f>([1]SB!F34+[1]SB!H34)/1000000</f>
        <v>192</v>
      </c>
      <c r="R139" s="9">
        <f t="shared" si="178"/>
        <v>94</v>
      </c>
      <c r="S139" s="9">
        <f>ROUND([1]EV.ACCIONES.aux!M89/1000000*$S$187/$S$188,0)-V139</f>
        <v>10</v>
      </c>
      <c r="T139" s="9">
        <f t="shared" si="184"/>
        <v>88</v>
      </c>
      <c r="U139" s="11">
        <f>ROUND([2]EV_ACCIONES!$I89/1000000*$S$187/$S$188,0)</f>
        <v>61</v>
      </c>
      <c r="V139" s="11">
        <f>ROUND([3]EV.ACCIONES.aux!$M89/1000000*$S$187/$S$188,0)</f>
        <v>27</v>
      </c>
    </row>
    <row r="140" spans="1:22" s="11" customFormat="1" ht="28.15" customHeight="1" x14ac:dyDescent="0.25">
      <c r="A140" s="56"/>
      <c r="B140" s="52" t="str">
        <f>[2]SB!A35</f>
        <v>SB.PY.4.3 Inducción institucional a estudiantes nuevos</v>
      </c>
      <c r="C140" s="52"/>
      <c r="D140" s="6" t="str">
        <f>[2]SB!D35</f>
        <v>ESTUDIANTES</v>
      </c>
      <c r="E140" s="6">
        <f>+[1]SB!B35</f>
        <v>1593</v>
      </c>
      <c r="F140" s="6">
        <f>+[1]SB!C35</f>
        <v>1794</v>
      </c>
      <c r="G140" s="5">
        <f t="shared" si="180"/>
        <v>201</v>
      </c>
      <c r="H140" s="6">
        <v>3349</v>
      </c>
      <c r="I140" s="33">
        <f>+'[1]METAS SB'!O16+'[1]METAS SB'!AD16</f>
        <v>4009</v>
      </c>
      <c r="J140" s="7">
        <f t="shared" si="181"/>
        <v>1.1970737533592117</v>
      </c>
      <c r="K140" s="8" t="str">
        <f t="shared" si="90"/>
        <v>MUY ALTO</v>
      </c>
      <c r="L140" s="7">
        <f t="shared" si="182"/>
        <v>7.4999999999999997E-2</v>
      </c>
      <c r="M140" s="8" t="str">
        <f t="shared" si="91"/>
        <v>MUY BAJO</v>
      </c>
      <c r="N140" s="7">
        <f t="shared" si="183"/>
        <v>8.9780531501940875E-2</v>
      </c>
      <c r="O140" s="8" t="str">
        <f t="shared" si="92"/>
        <v>MUY BAJO</v>
      </c>
      <c r="P140" s="9">
        <f t="shared" si="177"/>
        <v>3</v>
      </c>
      <c r="Q140" s="9">
        <f>([1]SB!F35+[1]SB!H35)/1000000</f>
        <v>40</v>
      </c>
      <c r="R140" s="9">
        <f t="shared" si="178"/>
        <v>37</v>
      </c>
      <c r="S140" s="9">
        <f>ROUND([1]EV.ACCIONES.aux!M90/1000000*$S$187/$S$188,0)-V140</f>
        <v>0</v>
      </c>
      <c r="T140" s="9">
        <f t="shared" si="184"/>
        <v>3</v>
      </c>
      <c r="U140" s="11">
        <f>ROUND([2]EV_ACCIONES!$I90/1000000*$S$187/$S$188,0)</f>
        <v>3</v>
      </c>
      <c r="V140" s="11">
        <f>ROUND([3]EV.ACCIONES.aux!$M90/1000000*$S$187/$S$188,0)</f>
        <v>0</v>
      </c>
    </row>
    <row r="141" spans="1:22" ht="28.15" customHeight="1" thickBot="1" x14ac:dyDescent="0.3">
      <c r="A141" s="56"/>
      <c r="B141" s="53" t="s">
        <v>43</v>
      </c>
      <c r="C141" s="53"/>
      <c r="D141" s="23"/>
      <c r="E141" s="23"/>
      <c r="F141" s="23"/>
      <c r="G141" s="23"/>
      <c r="H141" s="23"/>
      <c r="I141" s="23"/>
      <c r="J141" s="24">
        <f>AVERAGE(J138:J140)</f>
        <v>0.89180931909827033</v>
      </c>
      <c r="K141" s="8" t="str">
        <f t="shared" si="90"/>
        <v>MUY ALTO</v>
      </c>
      <c r="L141" s="24">
        <f>[1]EV.PROYECTOS!L26</f>
        <v>0.24079032065034128</v>
      </c>
      <c r="M141" s="8" t="str">
        <f t="shared" si="91"/>
        <v>BAJO</v>
      </c>
      <c r="N141" s="24">
        <f>+J141*L141</f>
        <v>0.21473905190463505</v>
      </c>
      <c r="O141" s="8" t="str">
        <f t="shared" si="92"/>
        <v>BAJO</v>
      </c>
      <c r="P141" s="14">
        <f>SUM(P138:P140)</f>
        <v>153</v>
      </c>
      <c r="Q141" s="14">
        <f t="shared" ref="Q141:T141" si="185">SUM(Q138:Q140)</f>
        <v>372</v>
      </c>
      <c r="R141" s="14">
        <f t="shared" si="185"/>
        <v>219</v>
      </c>
      <c r="S141" s="14">
        <f t="shared" si="185"/>
        <v>34</v>
      </c>
      <c r="T141" s="14">
        <f t="shared" si="185"/>
        <v>119</v>
      </c>
    </row>
    <row r="142" spans="1:22" s="11" customFormat="1" ht="28.15" customHeight="1" x14ac:dyDescent="0.25">
      <c r="A142" s="56"/>
      <c r="B142" s="52" t="str">
        <f>[2]SB!A41</f>
        <v>SB.PY.5.1 Becas, descuentos y exenciones de matrículas</v>
      </c>
      <c r="C142" s="52"/>
      <c r="D142" s="6" t="str">
        <f>[2]SB!D41</f>
        <v>BENEFICIARIOS APROBADOS</v>
      </c>
      <c r="E142" s="6">
        <f>+[1]SB!B41</f>
        <v>466</v>
      </c>
      <c r="F142" s="6">
        <f>+[1]SB!C41</f>
        <v>556</v>
      </c>
      <c r="G142" s="5">
        <f t="shared" ref="G142:G145" si="186">+F142-E142</f>
        <v>90</v>
      </c>
      <c r="H142" s="6">
        <v>1003</v>
      </c>
      <c r="I142" s="33">
        <f>+'[1]METAS SB'!O17+'[1]METAS SB'!AD17</f>
        <v>846</v>
      </c>
      <c r="J142" s="7">
        <f t="shared" ref="J142:J145" si="187">+I142/H142</f>
        <v>0.84346959122632104</v>
      </c>
      <c r="K142" s="8" t="str">
        <f t="shared" si="90"/>
        <v>MUY ALTO</v>
      </c>
      <c r="L142" s="7">
        <f t="shared" ref="L142:L145" si="188">+P142/Q142</f>
        <v>0.7384615384615385</v>
      </c>
      <c r="M142" s="8" t="str">
        <f t="shared" si="91"/>
        <v>ALTO</v>
      </c>
      <c r="N142" s="7">
        <f t="shared" ref="N142:N145" si="189">+J142*L142</f>
        <v>0.62286985198251399</v>
      </c>
      <c r="O142" s="8" t="str">
        <f t="shared" si="92"/>
        <v>ALTO</v>
      </c>
      <c r="P142" s="9">
        <f t="shared" ref="P142:P145" si="190">+S142+T142</f>
        <v>96</v>
      </c>
      <c r="Q142" s="9">
        <f>([1]SB!F41+[1]SB!H41)/1000000</f>
        <v>130</v>
      </c>
      <c r="R142" s="9">
        <f t="shared" ref="R142:R145" si="191">+Q142-P142</f>
        <v>34</v>
      </c>
      <c r="S142" s="9">
        <f>ROUND([1]EV.ACCIONES.aux!M91/1000000*$S$187/$S$188,0)-V142</f>
        <v>0</v>
      </c>
      <c r="T142" s="9">
        <f t="shared" ref="T142:T145" si="192">+U142+V142</f>
        <v>96</v>
      </c>
      <c r="U142" s="11">
        <f>ROUND([2]EV_ACCIONES!$I91/1000000*$S$187/$S$188,0)</f>
        <v>62</v>
      </c>
      <c r="V142" s="11">
        <f>ROUND([3]EV.ACCIONES.aux!$M91/1000000*$S$187/$S$188,0)</f>
        <v>34</v>
      </c>
    </row>
    <row r="143" spans="1:22" s="11" customFormat="1" ht="28.15" customHeight="1" x14ac:dyDescent="0.25">
      <c r="A143" s="56"/>
      <c r="B143" s="52" t="str">
        <f>[2]SB!A42</f>
        <v>SB.PY.5.2 Servicio de Restaurante</v>
      </c>
      <c r="C143" s="52"/>
      <c r="D143" s="6" t="str">
        <f>[2]SB!D42</f>
        <v>ESTUDIANTES</v>
      </c>
      <c r="E143" s="6">
        <f>+[1]SB!B42</f>
        <v>12000</v>
      </c>
      <c r="F143" s="6">
        <f>+[1]SB!C42</f>
        <v>13514</v>
      </c>
      <c r="G143" s="5">
        <f t="shared" si="186"/>
        <v>1514</v>
      </c>
      <c r="H143" s="6">
        <v>25219</v>
      </c>
      <c r="I143" s="33">
        <f>+'[1]METAS SB'!O18+'[1]METAS SB'!AD18</f>
        <v>3856</v>
      </c>
      <c r="J143" s="7">
        <f t="shared" si="187"/>
        <v>0.15290059082437846</v>
      </c>
      <c r="K143" s="8" t="str">
        <f t="shared" si="90"/>
        <v>MUY BAJO</v>
      </c>
      <c r="L143" s="7">
        <f t="shared" si="188"/>
        <v>3.8496240601503758E-2</v>
      </c>
      <c r="M143" s="8" t="str">
        <f t="shared" si="91"/>
        <v>MUY BAJO</v>
      </c>
      <c r="N143" s="7">
        <f t="shared" si="189"/>
        <v>5.8860979324873511E-3</v>
      </c>
      <c r="O143" s="8" t="str">
        <f t="shared" si="92"/>
        <v>MUY BAJO</v>
      </c>
      <c r="P143" s="9">
        <f t="shared" si="190"/>
        <v>128</v>
      </c>
      <c r="Q143" s="9">
        <f>([1]SB!F42+[1]SB!H42)/1000000</f>
        <v>3325</v>
      </c>
      <c r="R143" s="9">
        <f t="shared" si="191"/>
        <v>3197</v>
      </c>
      <c r="S143" s="9">
        <f>ROUND([1]EV.ACCIONES.aux!M92/1000000*$S$187/$S$188,0)-V143</f>
        <v>0</v>
      </c>
      <c r="T143" s="9">
        <f t="shared" si="192"/>
        <v>128</v>
      </c>
      <c r="U143" s="11">
        <f>ROUND([2]EV_ACCIONES!$I92/1000000*$S$187/$S$188,0)</f>
        <v>128</v>
      </c>
      <c r="V143" s="11">
        <f>ROUND([3]EV.ACCIONES.aux!$M92/1000000*$S$187/$S$188,0)</f>
        <v>0</v>
      </c>
    </row>
    <row r="144" spans="1:22" s="11" customFormat="1" ht="28.15" customHeight="1" x14ac:dyDescent="0.25">
      <c r="A144" s="56"/>
      <c r="B144" s="52" t="str">
        <f>[2]SB!A43</f>
        <v>SB.PY.5.3 Acompañamiento académico</v>
      </c>
      <c r="C144" s="52"/>
      <c r="D144" s="6" t="str">
        <f>[2]SB!D43</f>
        <v>ESTUDIANTES</v>
      </c>
      <c r="E144" s="6">
        <f>+[1]SB!B43</f>
        <v>12000</v>
      </c>
      <c r="F144" s="6">
        <f>+[1]SB!C43</f>
        <v>12000</v>
      </c>
      <c r="G144" s="5">
        <f t="shared" si="186"/>
        <v>0</v>
      </c>
      <c r="H144" s="6">
        <v>24000</v>
      </c>
      <c r="I144" s="33">
        <f>+'[1]METAS SB'!O19+'[1]METAS SB'!AD19</f>
        <v>7200</v>
      </c>
      <c r="J144" s="7">
        <f t="shared" si="187"/>
        <v>0.3</v>
      </c>
      <c r="K144" s="8" t="str">
        <f t="shared" si="90"/>
        <v>BAJO</v>
      </c>
      <c r="L144" s="7">
        <f t="shared" si="188"/>
        <v>0.48782051282051281</v>
      </c>
      <c r="M144" s="8" t="str">
        <f t="shared" si="91"/>
        <v>MEDIO</v>
      </c>
      <c r="N144" s="7">
        <f t="shared" si="189"/>
        <v>0.14634615384615385</v>
      </c>
      <c r="O144" s="8" t="str">
        <f t="shared" si="92"/>
        <v>MUY BAJO</v>
      </c>
      <c r="P144" s="9">
        <f t="shared" si="190"/>
        <v>761</v>
      </c>
      <c r="Q144" s="9">
        <f>([1]SB!F43+[1]SB!H43)/1000000</f>
        <v>1560</v>
      </c>
      <c r="R144" s="9">
        <f t="shared" si="191"/>
        <v>799</v>
      </c>
      <c r="S144" s="9">
        <f>ROUND([1]EV.ACCIONES.aux!M93/1000000*$S$187/$S$188,0)-V144</f>
        <v>15</v>
      </c>
      <c r="T144" s="9">
        <f t="shared" si="192"/>
        <v>746</v>
      </c>
      <c r="U144" s="11">
        <f>ROUND([2]EV_ACCIONES!$I93/1000000*$S$187/$S$188,0)</f>
        <v>614</v>
      </c>
      <c r="V144" s="11">
        <f>ROUND([3]EV.ACCIONES.aux!$M93/1000000*$S$187/$S$188,0)</f>
        <v>132</v>
      </c>
    </row>
    <row r="145" spans="1:22" s="11" customFormat="1" ht="28.15" customHeight="1" x14ac:dyDescent="0.25">
      <c r="A145" s="56"/>
      <c r="B145" s="52" t="str">
        <f>[2]SB!A44</f>
        <v>SB.PY.5.4 Acompañamiento sicosocial</v>
      </c>
      <c r="C145" s="52"/>
      <c r="D145" s="6" t="str">
        <f>[2]SB!D44</f>
        <v>ESTUDIANTES</v>
      </c>
      <c r="E145" s="6">
        <f>+[1]SB!B44</f>
        <v>6500</v>
      </c>
      <c r="F145" s="6">
        <f>+[1]SB!C44</f>
        <v>6500</v>
      </c>
      <c r="G145" s="5">
        <f t="shared" si="186"/>
        <v>0</v>
      </c>
      <c r="H145" s="6">
        <v>13000</v>
      </c>
      <c r="I145" s="33">
        <f>+'[1]METAS SB'!O20+'[1]METAS SB'!AD20</f>
        <v>8435</v>
      </c>
      <c r="J145" s="7">
        <f t="shared" si="187"/>
        <v>0.64884615384615385</v>
      </c>
      <c r="K145" s="8" t="str">
        <f t="shared" si="90"/>
        <v>ALTO</v>
      </c>
      <c r="L145" s="7">
        <f t="shared" si="188"/>
        <v>0.72</v>
      </c>
      <c r="M145" s="8" t="str">
        <f t="shared" si="91"/>
        <v>ALTO</v>
      </c>
      <c r="N145" s="7">
        <f t="shared" si="189"/>
        <v>0.46716923076923078</v>
      </c>
      <c r="O145" s="8" t="str">
        <f t="shared" si="92"/>
        <v>MEDIO</v>
      </c>
      <c r="P145" s="9">
        <f t="shared" si="190"/>
        <v>288</v>
      </c>
      <c r="Q145" s="9">
        <f>([1]SB!F44+[1]SB!H44)/1000000</f>
        <v>400</v>
      </c>
      <c r="R145" s="9">
        <f t="shared" si="191"/>
        <v>112</v>
      </c>
      <c r="S145" s="9">
        <f>ROUND([1]EV.ACCIONES.aux!M94/1000000*$S$187/$S$188,0)-V145</f>
        <v>4</v>
      </c>
      <c r="T145" s="9">
        <f t="shared" si="192"/>
        <v>284</v>
      </c>
      <c r="U145" s="11">
        <f>ROUND([2]EV_ACCIONES!$I94/1000000*$S$187/$S$188,0)</f>
        <v>180</v>
      </c>
      <c r="V145" s="11">
        <f>ROUND([3]EV.ACCIONES.aux!$M94/1000000*$S$187/$S$188,0)</f>
        <v>104</v>
      </c>
    </row>
    <row r="146" spans="1:22" ht="28.15" customHeight="1" thickBot="1" x14ac:dyDescent="0.3">
      <c r="A146" s="57"/>
      <c r="B146" s="53" t="s">
        <v>44</v>
      </c>
      <c r="C146" s="53"/>
      <c r="D146" s="23"/>
      <c r="E146" s="23"/>
      <c r="F146" s="23"/>
      <c r="G146" s="23"/>
      <c r="H146" s="23"/>
      <c r="I146" s="23"/>
      <c r="J146" s="24">
        <f>AVERAGE(J142:J145)</f>
        <v>0.48630408397421332</v>
      </c>
      <c r="K146" s="8" t="str">
        <f t="shared" si="90"/>
        <v>MEDIO</v>
      </c>
      <c r="L146" s="24">
        <f>[1]EV.PROYECTOS!L27</f>
        <v>0.12904651149747348</v>
      </c>
      <c r="M146" s="8" t="str">
        <f t="shared" si="91"/>
        <v>MUY BAJO</v>
      </c>
      <c r="N146" s="24">
        <f>+J146*L146</f>
        <v>6.2755845563846627E-2</v>
      </c>
      <c r="O146" s="8" t="str">
        <f t="shared" si="92"/>
        <v>MUY BAJO</v>
      </c>
      <c r="P146" s="14">
        <f>SUM(P142:P145)</f>
        <v>1273</v>
      </c>
      <c r="Q146" s="14">
        <f t="shared" ref="Q146:T146" si="193">SUM(Q142:Q145)</f>
        <v>5415</v>
      </c>
      <c r="R146" s="14">
        <f t="shared" si="193"/>
        <v>4142</v>
      </c>
      <c r="S146" s="14">
        <f t="shared" si="193"/>
        <v>19</v>
      </c>
      <c r="T146" s="14">
        <f t="shared" si="193"/>
        <v>1254</v>
      </c>
    </row>
    <row r="147" spans="1:22" ht="31.9" customHeight="1" x14ac:dyDescent="0.25">
      <c r="A147" s="26"/>
      <c r="B147" s="51" t="s">
        <v>45</v>
      </c>
      <c r="C147" s="51"/>
      <c r="D147" s="27"/>
      <c r="E147" s="27"/>
      <c r="F147" s="27"/>
      <c r="G147" s="27"/>
      <c r="H147" s="50"/>
      <c r="I147" s="27"/>
      <c r="J147" s="28">
        <f>AVERAGE(J146,J141,J137,J134,J130)</f>
        <v>1.3025748308157978</v>
      </c>
      <c r="K147" s="8" t="str">
        <f t="shared" si="90"/>
        <v>MUY ALTO</v>
      </c>
      <c r="L147" s="28">
        <f>AVERAGE(L130,L134,L137,L141,L146)</f>
        <v>0.22399934863305254</v>
      </c>
      <c r="M147" s="8" t="str">
        <f t="shared" si="91"/>
        <v>BAJO</v>
      </c>
      <c r="N147" s="28">
        <f>AVERAGE(N130,N134,N137,N141,N146)</f>
        <v>0.33649840334356679</v>
      </c>
      <c r="O147" s="8" t="str">
        <f t="shared" si="92"/>
        <v>BAJO</v>
      </c>
      <c r="P147" s="29">
        <f>+P146+P141+P137+P134+P130</f>
        <v>2585</v>
      </c>
      <c r="Q147" s="29">
        <f t="shared" ref="Q147:T147" si="194">+Q146+Q141+Q137+Q134+Q130</f>
        <v>9365.4</v>
      </c>
      <c r="R147" s="29">
        <f t="shared" si="194"/>
        <v>6780.4</v>
      </c>
      <c r="S147" s="29">
        <f t="shared" si="194"/>
        <v>61</v>
      </c>
      <c r="T147" s="29">
        <f t="shared" si="194"/>
        <v>2524</v>
      </c>
    </row>
    <row r="148" spans="1:22" s="11" customFormat="1" ht="31.9" customHeight="1" x14ac:dyDescent="0.25">
      <c r="A148" s="36"/>
      <c r="B148" s="52" t="str">
        <f>[2]SA!A6</f>
        <v>SA-PY.1.1 Construcción  de edificios</v>
      </c>
      <c r="C148" s="52"/>
      <c r="D148" s="6" t="str">
        <f>[2]SA!D6</f>
        <v>M2 Construídos</v>
      </c>
      <c r="E148" s="6">
        <f>+[1]SA!B6</f>
        <v>41120</v>
      </c>
      <c r="F148" s="6">
        <f>+[1]SA!C6</f>
        <v>50220</v>
      </c>
      <c r="G148" s="5">
        <f t="shared" ref="G148:G152" si="195">+F148-E148</f>
        <v>9100</v>
      </c>
      <c r="H148" s="37">
        <v>7900</v>
      </c>
      <c r="I148" s="6">
        <f>+'[1]METAS SA'!O2+'[1]METAS SA'!AD2</f>
        <v>2072.5500000000002</v>
      </c>
      <c r="J148" s="7">
        <f t="shared" ref="J148:J152" si="196">+I148/H148</f>
        <v>0.26234810126582281</v>
      </c>
      <c r="K148" s="8" t="str">
        <f t="shared" si="90"/>
        <v>BAJO</v>
      </c>
      <c r="L148" s="7">
        <f t="shared" ref="L148:L152" si="197">+P148/Q148</f>
        <v>0.67114616984119613</v>
      </c>
      <c r="M148" s="8" t="str">
        <f t="shared" si="91"/>
        <v>ALTO</v>
      </c>
      <c r="N148" s="7">
        <f t="shared" ref="N148:N152" si="198">+J148*L148</f>
        <v>0.17607392332966723</v>
      </c>
      <c r="O148" s="8" t="str">
        <f t="shared" si="92"/>
        <v>MUY BAJO</v>
      </c>
      <c r="P148" s="9">
        <f t="shared" ref="P148:P152" si="199">+S148+T148</f>
        <v>11163</v>
      </c>
      <c r="Q148" s="9">
        <f>([1]SA!F6+[1]SA!H6)/1000000</f>
        <v>16632.740379999999</v>
      </c>
      <c r="R148" s="9">
        <f t="shared" ref="R148:R152" si="200">+Q148-P148</f>
        <v>5469.7403799999993</v>
      </c>
      <c r="S148" s="9">
        <f>ROUND([1]EV.ACCIONES.aux!M95/1000000*$S$187/$S$188,0)-V148</f>
        <v>7443</v>
      </c>
      <c r="T148" s="9">
        <f t="shared" ref="T148:T152" si="201">+U148+V148</f>
        <v>3720</v>
      </c>
      <c r="U148" s="11">
        <f>ROUND([2]EV_ACCIONES!$I95/1000000*$S$187/$S$188,0)</f>
        <v>3720</v>
      </c>
      <c r="V148" s="11">
        <f>ROUND([3]EV.ACCIONES.aux!$M95/1000000*$S$187/$S$188,0)</f>
        <v>0</v>
      </c>
    </row>
    <row r="149" spans="1:22" s="11" customFormat="1" ht="31.9" customHeight="1" x14ac:dyDescent="0.25">
      <c r="A149" s="36"/>
      <c r="B149" s="52" t="str">
        <f>[2]SA!A7</f>
        <v>SA-PY.1.2 Construcción de  campos deportivos</v>
      </c>
      <c r="C149" s="52"/>
      <c r="D149" s="6" t="str">
        <f>[2]SA!D7</f>
        <v>M2 Construídos</v>
      </c>
      <c r="E149" s="6">
        <f>+[1]SA!B7</f>
        <v>17287</v>
      </c>
      <c r="F149" s="6">
        <f>+[1]SA!C7</f>
        <v>19423</v>
      </c>
      <c r="G149" s="5">
        <f t="shared" si="195"/>
        <v>2136</v>
      </c>
      <c r="H149" s="37">
        <v>312</v>
      </c>
      <c r="I149" s="6">
        <f>+'[1]METAS SA'!O3+'[1]METAS SA'!AD3</f>
        <v>0</v>
      </c>
      <c r="J149" s="7">
        <f t="shared" si="196"/>
        <v>0</v>
      </c>
      <c r="K149" s="8" t="str">
        <f t="shared" si="90"/>
        <v>MUY BAJO</v>
      </c>
      <c r="L149" s="7">
        <f t="shared" si="197"/>
        <v>0</v>
      </c>
      <c r="M149" s="8" t="str">
        <f t="shared" si="91"/>
        <v>MUY BAJO</v>
      </c>
      <c r="N149" s="7">
        <f t="shared" si="198"/>
        <v>0</v>
      </c>
      <c r="O149" s="8" t="str">
        <f t="shared" si="92"/>
        <v>MUY BAJO</v>
      </c>
      <c r="P149" s="9">
        <f t="shared" si="199"/>
        <v>0</v>
      </c>
      <c r="Q149" s="9">
        <f>([1]SA!F7+[1]SA!H7)/1000000</f>
        <v>500.13600000000002</v>
      </c>
      <c r="R149" s="9">
        <f t="shared" si="200"/>
        <v>500.13600000000002</v>
      </c>
      <c r="S149" s="9">
        <f>ROUND([1]EV.ACCIONES.aux!M96/1000000*$S$187/$S$188,0)-V149</f>
        <v>0</v>
      </c>
      <c r="T149" s="9">
        <f t="shared" si="201"/>
        <v>0</v>
      </c>
      <c r="U149" s="11">
        <f>ROUND([2]EV_ACCIONES!$I96/1000000*$S$187/$S$188,0)</f>
        <v>0</v>
      </c>
      <c r="V149" s="11">
        <f>ROUND([3]EV.ACCIONES.aux!$M96/1000000*$S$187/$S$188,0)</f>
        <v>0</v>
      </c>
    </row>
    <row r="150" spans="1:22" s="11" customFormat="1" ht="31.9" customHeight="1" x14ac:dyDescent="0.25">
      <c r="A150" s="36"/>
      <c r="B150" s="52" t="str">
        <f>[2]SA!A8</f>
        <v>SA-PY.1.3 Adecuar accesos para discapacitados</v>
      </c>
      <c r="C150" s="52"/>
      <c r="D150" s="6" t="str">
        <f>[2]SA!D8</f>
        <v>M2 Adecuados</v>
      </c>
      <c r="E150" s="6">
        <f>+[1]SA!B8</f>
        <v>99968</v>
      </c>
      <c r="F150" s="6">
        <f>+[1]SA!C8</f>
        <v>109086</v>
      </c>
      <c r="G150" s="5">
        <f t="shared" si="195"/>
        <v>9118</v>
      </c>
      <c r="H150" s="37">
        <v>5594</v>
      </c>
      <c r="I150" s="6">
        <f>+'[1]METAS SA'!O4+'[1]METAS SA'!AD4</f>
        <v>0</v>
      </c>
      <c r="J150" s="7">
        <f t="shared" si="196"/>
        <v>0</v>
      </c>
      <c r="K150" s="8" t="str">
        <f t="shared" si="90"/>
        <v>MUY BAJO</v>
      </c>
      <c r="L150" s="7">
        <f t="shared" si="197"/>
        <v>0</v>
      </c>
      <c r="M150" s="8" t="str">
        <f t="shared" si="91"/>
        <v>MUY BAJO</v>
      </c>
      <c r="N150" s="7">
        <f t="shared" si="198"/>
        <v>0</v>
      </c>
      <c r="O150" s="8" t="str">
        <f t="shared" si="92"/>
        <v>MUY BAJO</v>
      </c>
      <c r="P150" s="9">
        <f t="shared" si="199"/>
        <v>0</v>
      </c>
      <c r="Q150" s="9">
        <f>([1]SA!F8+[1]SA!H8)/1000000</f>
        <v>400</v>
      </c>
      <c r="R150" s="9">
        <f t="shared" si="200"/>
        <v>400</v>
      </c>
      <c r="S150" s="9">
        <f>ROUND([1]EV.ACCIONES.aux!M97/1000000*$S$187/$S$188,0)-V150</f>
        <v>0</v>
      </c>
      <c r="T150" s="9">
        <f t="shared" si="201"/>
        <v>0</v>
      </c>
      <c r="U150" s="11">
        <f>ROUND([2]EV_ACCIONES!$I97/1000000*$S$187/$S$188,0)</f>
        <v>0</v>
      </c>
      <c r="V150" s="11">
        <f>ROUND([3]EV.ACCIONES.aux!$M97/1000000*$S$187/$S$188,0)</f>
        <v>0</v>
      </c>
    </row>
    <row r="151" spans="1:22" s="11" customFormat="1" ht="31.9" customHeight="1" x14ac:dyDescent="0.25">
      <c r="A151" s="36"/>
      <c r="B151" s="52" t="str">
        <f>[2]SA!A9</f>
        <v>SA-PY.1.4 Adecuar planta física existente</v>
      </c>
      <c r="C151" s="52"/>
      <c r="D151" s="6" t="str">
        <f>[2]SA!D9</f>
        <v>M2 Adecuados</v>
      </c>
      <c r="E151" s="6">
        <f>+[1]SA!B9</f>
        <v>103293</v>
      </c>
      <c r="F151" s="6">
        <f>+[1]SA!C9</f>
        <v>111193</v>
      </c>
      <c r="G151" s="5">
        <f t="shared" si="195"/>
        <v>7900</v>
      </c>
      <c r="H151" s="37">
        <v>6400</v>
      </c>
      <c r="I151" s="6">
        <f>+'[1]METAS SA'!O5+'[1]METAS SA'!AD5</f>
        <v>176</v>
      </c>
      <c r="J151" s="7">
        <f t="shared" si="196"/>
        <v>2.75E-2</v>
      </c>
      <c r="K151" s="8" t="str">
        <f t="shared" si="90"/>
        <v>MUY BAJO</v>
      </c>
      <c r="L151" s="7">
        <f t="shared" si="197"/>
        <v>5.7139592023312959E-2</v>
      </c>
      <c r="M151" s="8" t="str">
        <f t="shared" si="91"/>
        <v>MUY BAJO</v>
      </c>
      <c r="N151" s="7">
        <f t="shared" si="198"/>
        <v>1.5713387806411065E-3</v>
      </c>
      <c r="O151" s="8" t="str">
        <f t="shared" si="92"/>
        <v>MUY BAJO</v>
      </c>
      <c r="P151" s="9">
        <f t="shared" si="199"/>
        <v>40</v>
      </c>
      <c r="Q151" s="9">
        <f>([1]SA!F9+[1]SA!H9)/1000000</f>
        <v>700.04</v>
      </c>
      <c r="R151" s="9">
        <f t="shared" si="200"/>
        <v>660.04</v>
      </c>
      <c r="S151" s="9">
        <f>ROUND([1]EV.ACCIONES.aux!M98/1000000*$S$187/$S$188,0)-V151</f>
        <v>0</v>
      </c>
      <c r="T151" s="9">
        <f t="shared" si="201"/>
        <v>40</v>
      </c>
      <c r="U151" s="11">
        <f>ROUND([2]EV_ACCIONES!$I98/1000000*$S$187/$S$188,0)</f>
        <v>40</v>
      </c>
      <c r="V151" s="11">
        <f>ROUND([3]EV.ACCIONES.aux!$M98/1000000*$S$187/$S$188,0)</f>
        <v>0</v>
      </c>
    </row>
    <row r="152" spans="1:22" s="11" customFormat="1" ht="31.9" customHeight="1" x14ac:dyDescent="0.25">
      <c r="A152" s="36"/>
      <c r="B152" s="52" t="str">
        <f>[2]SA!A10</f>
        <v>SA-PY.1.5 Mantener edificaciones y campos deportivos</v>
      </c>
      <c r="C152" s="52"/>
      <c r="D152" s="6" t="str">
        <f>[2]SA!D10</f>
        <v>M2 Mantenidos</v>
      </c>
      <c r="E152" s="6">
        <f>+[1]SA!B10</f>
        <v>103293</v>
      </c>
      <c r="F152" s="6">
        <f>+[1]SA!C10</f>
        <v>118293</v>
      </c>
      <c r="G152" s="5">
        <f t="shared" si="195"/>
        <v>15000</v>
      </c>
      <c r="H152" s="37">
        <v>6000</v>
      </c>
      <c r="I152" s="6">
        <f>+'[1]METAS SA'!O6+'[1]METAS SA'!AD6</f>
        <v>1100</v>
      </c>
      <c r="J152" s="7">
        <f t="shared" si="196"/>
        <v>0.18333333333333332</v>
      </c>
      <c r="K152" s="8" t="str">
        <f t="shared" si="90"/>
        <v>MUY BAJO</v>
      </c>
      <c r="L152" s="7">
        <f t="shared" si="197"/>
        <v>0.155</v>
      </c>
      <c r="M152" s="8" t="str">
        <f t="shared" si="91"/>
        <v>MUY BAJO</v>
      </c>
      <c r="N152" s="7">
        <f t="shared" si="198"/>
        <v>2.8416666666666663E-2</v>
      </c>
      <c r="O152" s="8" t="str">
        <f t="shared" si="92"/>
        <v>MUY BAJO</v>
      </c>
      <c r="P152" s="9">
        <f t="shared" si="199"/>
        <v>93</v>
      </c>
      <c r="Q152" s="9">
        <f>([1]SA!F10+[1]SA!H10)/1000000</f>
        <v>600</v>
      </c>
      <c r="R152" s="9">
        <f t="shared" si="200"/>
        <v>507</v>
      </c>
      <c r="S152" s="9">
        <f>ROUND([1]EV.ACCIONES.aux!M99/1000000*$S$187/$S$188,0)-V152</f>
        <v>0</v>
      </c>
      <c r="T152" s="9">
        <f t="shared" si="201"/>
        <v>93</v>
      </c>
      <c r="U152" s="11">
        <f>ROUND([2]EV_ACCIONES!$I99/1000000*$S$187/$S$188,0)</f>
        <v>93</v>
      </c>
      <c r="V152" s="11">
        <f>ROUND([3]EV.ACCIONES.aux!$M99/1000000*$S$187/$S$188,0)</f>
        <v>0</v>
      </c>
    </row>
    <row r="153" spans="1:22" ht="30" customHeight="1" thickBot="1" x14ac:dyDescent="0.3">
      <c r="A153" s="54" t="s">
        <v>46</v>
      </c>
      <c r="B153" s="53" t="s">
        <v>47</v>
      </c>
      <c r="C153" s="53"/>
      <c r="D153" s="23"/>
      <c r="E153" s="23"/>
      <c r="F153" s="23"/>
      <c r="G153" s="23"/>
      <c r="H153" s="23"/>
      <c r="I153" s="38"/>
      <c r="J153" s="24">
        <f>AVERAGE(J148:J152)</f>
        <v>9.4636286919831239E-2</v>
      </c>
      <c r="K153" s="8" t="str">
        <f t="shared" si="90"/>
        <v>MUY BAJO</v>
      </c>
      <c r="L153" s="24">
        <f>[1]EV.PROYECTOS!L28</f>
        <v>0.56423264241646054</v>
      </c>
      <c r="M153" s="8" t="str">
        <f t="shared" si="91"/>
        <v>MEDIO</v>
      </c>
      <c r="N153" s="24">
        <f>+J153*L153</f>
        <v>5.3396882237258698E-2</v>
      </c>
      <c r="O153" s="8" t="str">
        <f t="shared" si="92"/>
        <v>MUY BAJO</v>
      </c>
      <c r="P153" s="14">
        <f>SUM(P148:P152)</f>
        <v>11296</v>
      </c>
      <c r="Q153" s="14">
        <f t="shared" ref="Q153:T153" si="202">SUM(Q148:Q152)</f>
        <v>18832.916379999999</v>
      </c>
      <c r="R153" s="14">
        <f t="shared" si="202"/>
        <v>7536.9163799999997</v>
      </c>
      <c r="S153" s="14">
        <f t="shared" si="202"/>
        <v>7443</v>
      </c>
      <c r="T153" s="14">
        <f t="shared" si="202"/>
        <v>3853</v>
      </c>
    </row>
    <row r="154" spans="1:22" s="11" customFormat="1" ht="40.9" customHeight="1" x14ac:dyDescent="0.25">
      <c r="A154" s="54"/>
      <c r="B154" s="52" t="str">
        <f>[2]SA!A16</f>
        <v>SA-PY.2.1 Dotación de equipos los laboratorios y talleres para Docencia</v>
      </c>
      <c r="C154" s="52"/>
      <c r="D154" s="6" t="str">
        <f>[2]SA!D16</f>
        <v># Laboratorios dotados de equipos</v>
      </c>
      <c r="E154" s="6">
        <f>+[1]SA!B16</f>
        <v>56</v>
      </c>
      <c r="F154" s="6">
        <f>+[1]SA!C16</f>
        <v>56</v>
      </c>
      <c r="G154" s="5">
        <f t="shared" ref="G154:G165" si="203">+F154-E154</f>
        <v>0</v>
      </c>
      <c r="H154" s="6">
        <v>22</v>
      </c>
      <c r="I154" s="33">
        <f>+'[1]METAS SA'!O7+'[1]METAS SA'!AD7</f>
        <v>19</v>
      </c>
      <c r="J154" s="7">
        <f t="shared" ref="J154:J165" si="204">+I154/H154</f>
        <v>0.86363636363636365</v>
      </c>
      <c r="K154" s="8" t="str">
        <f t="shared" si="90"/>
        <v>MUY ALTO</v>
      </c>
      <c r="L154" s="7">
        <f t="shared" ref="L154:L165" si="205">+P154/Q154</f>
        <v>0.36791666666666667</v>
      </c>
      <c r="M154" s="8" t="str">
        <f t="shared" si="91"/>
        <v>BAJO</v>
      </c>
      <c r="N154" s="7">
        <f t="shared" ref="N154:N165" si="206">+J154*L154</f>
        <v>0.31774621212121212</v>
      </c>
      <c r="O154" s="8" t="str">
        <f t="shared" si="92"/>
        <v>BAJO</v>
      </c>
      <c r="P154" s="9">
        <f t="shared" ref="P154:P165" si="207">+S154+T154</f>
        <v>883</v>
      </c>
      <c r="Q154" s="9">
        <f>([1]SA!F16+[1]SA!H16)/1000000</f>
        <v>2400</v>
      </c>
      <c r="R154" s="9">
        <f t="shared" ref="R154:R165" si="208">+Q154-P154</f>
        <v>1517</v>
      </c>
      <c r="S154" s="9">
        <f>ROUND([1]EV.ACCIONES.aux!M100/1000000*$S$187/$S$188,0)-V154</f>
        <v>0</v>
      </c>
      <c r="T154" s="9">
        <f t="shared" ref="T154:T165" si="209">+U154+V154</f>
        <v>883</v>
      </c>
      <c r="U154" s="11">
        <f>ROUND([2]EV_ACCIONES!$I100/1000000*$S$187/$S$188,0)</f>
        <v>883</v>
      </c>
      <c r="V154" s="11">
        <f>ROUND([3]EV.ACCIONES.aux!$M100/1000000*$S$187/$S$188,0)</f>
        <v>0</v>
      </c>
    </row>
    <row r="155" spans="1:22" s="11" customFormat="1" ht="45" customHeight="1" x14ac:dyDescent="0.25">
      <c r="A155" s="54"/>
      <c r="B155" s="52" t="str">
        <f>[2]SA!A17</f>
        <v>SA-PY.2.2 Mantenimiento Preventivo y Correctivo Laboratorios de Docencia</v>
      </c>
      <c r="C155" s="52"/>
      <c r="D155" s="6" t="str">
        <f>[2]SA!D17</f>
        <v># Laboratorios con equipos mantenidos</v>
      </c>
      <c r="E155" s="6">
        <f>+[1]SA!B17</f>
        <v>56</v>
      </c>
      <c r="F155" s="6">
        <f>+[1]SA!C17</f>
        <v>56</v>
      </c>
      <c r="G155" s="5">
        <f t="shared" si="203"/>
        <v>0</v>
      </c>
      <c r="H155" s="6">
        <v>22</v>
      </c>
      <c r="I155" s="33">
        <f>+'[1]METAS SA'!O8+'[1]METAS SA'!AD8</f>
        <v>2</v>
      </c>
      <c r="J155" s="7">
        <f t="shared" si="204"/>
        <v>9.0909090909090912E-2</v>
      </c>
      <c r="K155" s="8" t="str">
        <f t="shared" si="90"/>
        <v>MUY BAJO</v>
      </c>
      <c r="L155" s="7">
        <f t="shared" si="205"/>
        <v>0</v>
      </c>
      <c r="M155" s="8" t="str">
        <f t="shared" si="91"/>
        <v>MUY BAJO</v>
      </c>
      <c r="N155" s="7">
        <f t="shared" si="206"/>
        <v>0</v>
      </c>
      <c r="O155" s="8" t="str">
        <f t="shared" si="92"/>
        <v>MUY BAJO</v>
      </c>
      <c r="P155" s="9">
        <f t="shared" si="207"/>
        <v>0</v>
      </c>
      <c r="Q155" s="9">
        <f>([1]SA!F17+[1]SA!H17)/1000000</f>
        <v>1200</v>
      </c>
      <c r="R155" s="9">
        <f t="shared" si="208"/>
        <v>1200</v>
      </c>
      <c r="S155" s="9">
        <f>ROUND([1]EV.ACCIONES.aux!M101/1000000*$S$187/$S$188,0)-V155</f>
        <v>0</v>
      </c>
      <c r="T155" s="9">
        <f t="shared" si="209"/>
        <v>0</v>
      </c>
      <c r="U155" s="11">
        <f>ROUND([2]EV_ACCIONES!$I101/1000000*$S$187/$S$188,0)</f>
        <v>0</v>
      </c>
      <c r="V155" s="11">
        <f>ROUND([3]EV.ACCIONES.aux!$M101/1000000*$S$187/$S$188,0)</f>
        <v>0</v>
      </c>
    </row>
    <row r="156" spans="1:22" s="11" customFormat="1" ht="47.45" customHeight="1" x14ac:dyDescent="0.25">
      <c r="A156" s="54"/>
      <c r="B156" s="52" t="str">
        <f>[2]SA!A18</f>
        <v>SA-PY.2.3 Dotación de vidriería, reactivos e insumos para laboratorios de docencia</v>
      </c>
      <c r="C156" s="52"/>
      <c r="D156" s="6" t="str">
        <f>[2]SA!D18</f>
        <v># Laboratorios dotados de vidiería e insumos</v>
      </c>
      <c r="E156" s="6">
        <f>+[1]SA!B18</f>
        <v>50</v>
      </c>
      <c r="F156" s="6">
        <f>+[1]SA!C18</f>
        <v>50</v>
      </c>
      <c r="G156" s="5">
        <f t="shared" si="203"/>
        <v>0</v>
      </c>
      <c r="H156" s="6">
        <v>100</v>
      </c>
      <c r="I156" s="33">
        <f>+'[1]METAS SA'!O9+'[1]METAS SA'!AD9</f>
        <v>0</v>
      </c>
      <c r="J156" s="7">
        <f t="shared" si="204"/>
        <v>0</v>
      </c>
      <c r="K156" s="8" t="str">
        <f t="shared" si="90"/>
        <v>MUY BAJO</v>
      </c>
      <c r="L156" s="7">
        <f t="shared" si="205"/>
        <v>0.1</v>
      </c>
      <c r="M156" s="8" t="str">
        <f t="shared" si="91"/>
        <v>MUY BAJO</v>
      </c>
      <c r="N156" s="7">
        <f t="shared" si="206"/>
        <v>0</v>
      </c>
      <c r="O156" s="8" t="str">
        <f t="shared" si="92"/>
        <v>MUY BAJO</v>
      </c>
      <c r="P156" s="9">
        <f t="shared" si="207"/>
        <v>60</v>
      </c>
      <c r="Q156" s="9">
        <f>([1]SA!F18+[1]SA!H18)/1000000</f>
        <v>600</v>
      </c>
      <c r="R156" s="9">
        <f t="shared" si="208"/>
        <v>540</v>
      </c>
      <c r="S156" s="9">
        <f>ROUND([1]EV.ACCIONES.aux!M102/1000000*$S$187/$S$188,0)-V156</f>
        <v>0</v>
      </c>
      <c r="T156" s="9">
        <f t="shared" si="209"/>
        <v>60</v>
      </c>
      <c r="U156" s="11">
        <f>ROUND([2]EV_ACCIONES!$I102/1000000*$S$187/$S$188,0)</f>
        <v>60</v>
      </c>
      <c r="V156" s="11">
        <f>ROUND([3]EV.ACCIONES.aux!$M102/1000000*$S$187/$S$188,0)</f>
        <v>0</v>
      </c>
    </row>
    <row r="157" spans="1:22" s="11" customFormat="1" ht="44.45" customHeight="1" x14ac:dyDescent="0.25">
      <c r="A157" s="54"/>
      <c r="B157" s="52" t="str">
        <f>[2]SA!A19</f>
        <v>SA-PY.2.4  Dotación de equipos y aplicativos para laboratorios de Investigación</v>
      </c>
      <c r="C157" s="52"/>
      <c r="D157" s="6" t="str">
        <f>[2]SA!D19</f>
        <v># Laboratorios dotados de equipos</v>
      </c>
      <c r="E157" s="6">
        <f>+[1]SA!B19</f>
        <v>9</v>
      </c>
      <c r="F157" s="6">
        <f>+[1]SA!C19</f>
        <v>9</v>
      </c>
      <c r="G157" s="5">
        <f t="shared" si="203"/>
        <v>0</v>
      </c>
      <c r="H157" s="6">
        <v>18</v>
      </c>
      <c r="I157" s="33">
        <f>+'[1]METAS SA'!O10+'[1]METAS SA'!AD10</f>
        <v>9</v>
      </c>
      <c r="J157" s="7">
        <f t="shared" si="204"/>
        <v>0.5</v>
      </c>
      <c r="K157" s="8" t="str">
        <f t="shared" si="90"/>
        <v>MEDIO</v>
      </c>
      <c r="L157" s="7">
        <f t="shared" si="205"/>
        <v>0.14036363636363636</v>
      </c>
      <c r="M157" s="8" t="str">
        <f t="shared" si="91"/>
        <v>MUY BAJO</v>
      </c>
      <c r="N157" s="7">
        <f t="shared" si="206"/>
        <v>7.0181818181818179E-2</v>
      </c>
      <c r="O157" s="8" t="str">
        <f t="shared" si="92"/>
        <v>MUY BAJO</v>
      </c>
      <c r="P157" s="9">
        <f t="shared" si="207"/>
        <v>386</v>
      </c>
      <c r="Q157" s="9">
        <f>([1]SA!F19+[1]SA!H19)/1000000</f>
        <v>2750</v>
      </c>
      <c r="R157" s="9">
        <f t="shared" si="208"/>
        <v>2364</v>
      </c>
      <c r="S157" s="9">
        <f>ROUND([1]EV.ACCIONES.aux!M103/1000000*$S$187/$S$188,0)-V157</f>
        <v>0</v>
      </c>
      <c r="T157" s="9">
        <f t="shared" si="209"/>
        <v>386</v>
      </c>
      <c r="U157" s="11">
        <f>ROUND([2]EV_ACCIONES!$I103/1000000*$S$187/$S$188,0)</f>
        <v>386</v>
      </c>
      <c r="V157" s="11">
        <f>ROUND([3]EV.ACCIONES.aux!$M103/1000000*$S$187/$S$188,0)</f>
        <v>0</v>
      </c>
    </row>
    <row r="158" spans="1:22" s="11" customFormat="1" ht="50.45" customHeight="1" x14ac:dyDescent="0.25">
      <c r="A158" s="54"/>
      <c r="B158" s="52" t="str">
        <f>[2]SA!A20</f>
        <v>SA-PY.2.5 Mantenimiento de equipos y aplicativos para laboratorios de Investigación</v>
      </c>
      <c r="C158" s="52"/>
      <c r="D158" s="6" t="str">
        <f>[2]SA!D20</f>
        <v># Laboratorios con equipos mantenidos</v>
      </c>
      <c r="E158" s="6">
        <f>+[1]SA!B20</f>
        <v>9</v>
      </c>
      <c r="F158" s="6">
        <f>+[1]SA!C20</f>
        <v>9</v>
      </c>
      <c r="G158" s="5">
        <f t="shared" si="203"/>
        <v>0</v>
      </c>
      <c r="H158" s="6">
        <v>18</v>
      </c>
      <c r="I158" s="33">
        <f>+'[1]METAS SA'!O11+'[1]METAS SA'!AD11</f>
        <v>3</v>
      </c>
      <c r="J158" s="7">
        <f t="shared" si="204"/>
        <v>0.16666666666666666</v>
      </c>
      <c r="K158" s="8" t="str">
        <f t="shared" si="90"/>
        <v>MUY BAJO</v>
      </c>
      <c r="L158" s="7">
        <f t="shared" si="205"/>
        <v>0.18823529411764706</v>
      </c>
      <c r="M158" s="8" t="str">
        <f t="shared" si="91"/>
        <v>MUY BAJO</v>
      </c>
      <c r="N158" s="7">
        <f t="shared" si="206"/>
        <v>3.1372549019607843E-2</v>
      </c>
      <c r="O158" s="8" t="str">
        <f t="shared" si="92"/>
        <v>MUY BAJO</v>
      </c>
      <c r="P158" s="9">
        <f t="shared" si="207"/>
        <v>112</v>
      </c>
      <c r="Q158" s="9">
        <f>([1]SA!F20+[1]SA!H20)/1000000</f>
        <v>595</v>
      </c>
      <c r="R158" s="9">
        <f t="shared" si="208"/>
        <v>483</v>
      </c>
      <c r="S158" s="9">
        <f>ROUND([1]EV.ACCIONES.aux!M104/1000000*$S$187/$S$188,0)-V158</f>
        <v>11</v>
      </c>
      <c r="T158" s="9">
        <f t="shared" si="209"/>
        <v>101</v>
      </c>
      <c r="U158" s="11">
        <f>ROUND([2]EV_ACCIONES!$I104/1000000*$S$187/$S$188,0)</f>
        <v>101</v>
      </c>
      <c r="V158" s="11">
        <f>ROUND([3]EV.ACCIONES.aux!$M104/1000000*$S$187/$S$188,0)</f>
        <v>0</v>
      </c>
    </row>
    <row r="159" spans="1:22" s="11" customFormat="1" ht="44.45" customHeight="1" x14ac:dyDescent="0.25">
      <c r="A159" s="54"/>
      <c r="B159" s="52" t="str">
        <f>[2]SA!A21</f>
        <v>SA-PY.2.6 Dotación de vidriería, reactivos e insumos para laboratorios de investigación</v>
      </c>
      <c r="C159" s="52"/>
      <c r="D159" s="6" t="str">
        <f>[2]SA!D21</f>
        <v># Laboratorios dotados de vidiería e insumos</v>
      </c>
      <c r="E159" s="6">
        <f>+[1]SA!B21</f>
        <v>9</v>
      </c>
      <c r="F159" s="6">
        <f>+[1]SA!C21</f>
        <v>9</v>
      </c>
      <c r="G159" s="5">
        <f t="shared" si="203"/>
        <v>0</v>
      </c>
      <c r="H159" s="6">
        <v>18</v>
      </c>
      <c r="I159" s="33">
        <f>+'[1]METAS SA'!O12+'[1]METAS SA'!AD12</f>
        <v>4</v>
      </c>
      <c r="J159" s="7">
        <f t="shared" si="204"/>
        <v>0.22222222222222221</v>
      </c>
      <c r="K159" s="8" t="str">
        <f t="shared" si="90"/>
        <v>BAJO</v>
      </c>
      <c r="L159" s="7">
        <f t="shared" si="205"/>
        <v>0.11851851851851852</v>
      </c>
      <c r="M159" s="8" t="str">
        <f t="shared" si="91"/>
        <v>MUY BAJO</v>
      </c>
      <c r="N159" s="7">
        <f t="shared" si="206"/>
        <v>2.6337448559670781E-2</v>
      </c>
      <c r="O159" s="8" t="str">
        <f t="shared" si="92"/>
        <v>MUY BAJO</v>
      </c>
      <c r="P159" s="9">
        <f t="shared" si="207"/>
        <v>64</v>
      </c>
      <c r="Q159" s="9">
        <f>([1]SA!F21+[1]SA!H21)/1000000</f>
        <v>540</v>
      </c>
      <c r="R159" s="9">
        <f t="shared" si="208"/>
        <v>476</v>
      </c>
      <c r="S159" s="9">
        <f>ROUND([1]EV.ACCIONES.aux!M105/1000000*$S$187/$S$188,0)-V159</f>
        <v>0</v>
      </c>
      <c r="T159" s="9">
        <f t="shared" si="209"/>
        <v>64</v>
      </c>
      <c r="U159" s="11">
        <f>ROUND([2]EV_ACCIONES!$I105/1000000*$S$187/$S$188,0)</f>
        <v>64</v>
      </c>
      <c r="V159" s="11">
        <f>ROUND([3]EV.ACCIONES.aux!$M105/1000000*$S$187/$S$188,0)</f>
        <v>0</v>
      </c>
    </row>
    <row r="160" spans="1:22" s="11" customFormat="1" ht="30" customHeight="1" x14ac:dyDescent="0.25">
      <c r="A160" s="54"/>
      <c r="B160" s="52" t="str">
        <f>[2]SA!A22</f>
        <v>SA-PY.2.7 Dotación de Aulas de equipos y muebles</v>
      </c>
      <c r="C160" s="52"/>
      <c r="D160" s="6" t="str">
        <f>[2]SA!D22</f>
        <v># Aulas dotadas</v>
      </c>
      <c r="E160" s="6">
        <f>+[1]SA!B22</f>
        <v>137</v>
      </c>
      <c r="F160" s="6">
        <f>+[1]SA!C22</f>
        <v>205</v>
      </c>
      <c r="G160" s="5">
        <f t="shared" si="203"/>
        <v>68</v>
      </c>
      <c r="H160" s="6">
        <v>118</v>
      </c>
      <c r="I160" s="33">
        <f>+'[1]METAS SA'!O13+'[1]METAS SA'!AD13</f>
        <v>8</v>
      </c>
      <c r="J160" s="7">
        <f t="shared" si="204"/>
        <v>6.7796610169491525E-2</v>
      </c>
      <c r="K160" s="8" t="str">
        <f t="shared" si="90"/>
        <v>MUY BAJO</v>
      </c>
      <c r="L160" s="7">
        <f t="shared" si="205"/>
        <v>4.9373618275607961E-2</v>
      </c>
      <c r="M160" s="8" t="str">
        <f t="shared" si="91"/>
        <v>MUY BAJO</v>
      </c>
      <c r="N160" s="7">
        <f t="shared" si="206"/>
        <v>3.3473639508886754E-3</v>
      </c>
      <c r="O160" s="8" t="str">
        <f t="shared" si="92"/>
        <v>MUY BAJO</v>
      </c>
      <c r="P160" s="9">
        <f t="shared" si="207"/>
        <v>134</v>
      </c>
      <c r="Q160" s="9">
        <f>([1]SA!F22+[1]SA!H22)/1000000</f>
        <v>2714</v>
      </c>
      <c r="R160" s="9">
        <f t="shared" si="208"/>
        <v>2580</v>
      </c>
      <c r="S160" s="9">
        <f>ROUND([1]EV.ACCIONES.aux!M106/1000000*$S$187/$S$188,0)-V160</f>
        <v>0</v>
      </c>
      <c r="T160" s="9">
        <f t="shared" si="209"/>
        <v>134</v>
      </c>
      <c r="U160" s="11">
        <f>ROUND([2]EV_ACCIONES!$I106/1000000*$S$187/$S$188,0)</f>
        <v>134</v>
      </c>
      <c r="V160" s="11">
        <f>ROUND([3]EV.ACCIONES.aux!$M106/1000000*$S$187/$S$188,0)</f>
        <v>0</v>
      </c>
    </row>
    <row r="161" spans="1:22" s="11" customFormat="1" ht="42" customHeight="1" x14ac:dyDescent="0.25">
      <c r="A161" s="54"/>
      <c r="B161" s="52" t="str">
        <f>[2]SA!A23</f>
        <v>SA-PY.2.8 Mantenimiento dotación de aulas</v>
      </c>
      <c r="C161" s="52"/>
      <c r="D161" s="6" t="str">
        <f>[2]SA!D23</f>
        <v># Aulas con dotación mantenida</v>
      </c>
      <c r="E161" s="6">
        <f>+[1]SA!B23</f>
        <v>137</v>
      </c>
      <c r="F161" s="6">
        <f>+[1]SA!C23</f>
        <v>558</v>
      </c>
      <c r="G161" s="5">
        <f t="shared" si="203"/>
        <v>421</v>
      </c>
      <c r="H161" s="6">
        <v>200</v>
      </c>
      <c r="I161" s="33">
        <f>+'[1]METAS SA'!O14+'[1]METAS SA'!AD14</f>
        <v>0</v>
      </c>
      <c r="J161" s="7">
        <f t="shared" si="204"/>
        <v>0</v>
      </c>
      <c r="K161" s="8" t="str">
        <f t="shared" si="90"/>
        <v>MUY BAJO</v>
      </c>
      <c r="L161" s="7">
        <f t="shared" si="205"/>
        <v>0</v>
      </c>
      <c r="M161" s="8" t="str">
        <f t="shared" si="91"/>
        <v>MUY BAJO</v>
      </c>
      <c r="N161" s="7">
        <f t="shared" si="206"/>
        <v>0</v>
      </c>
      <c r="O161" s="8" t="str">
        <f t="shared" si="92"/>
        <v>MUY BAJO</v>
      </c>
      <c r="P161" s="9">
        <f t="shared" si="207"/>
        <v>0</v>
      </c>
      <c r="Q161" s="9">
        <f>([1]SA!F23+[1]SA!H23)/1000000</f>
        <v>200</v>
      </c>
      <c r="R161" s="9">
        <f t="shared" si="208"/>
        <v>200</v>
      </c>
      <c r="S161" s="9">
        <f>ROUND([1]EV.ACCIONES.aux!M107/1000000*$S$187/$S$188,0)-V161</f>
        <v>0</v>
      </c>
      <c r="T161" s="9">
        <f t="shared" si="209"/>
        <v>0</v>
      </c>
      <c r="U161" s="11">
        <f>ROUND([2]EV_ACCIONES!$I107/1000000*$S$187/$S$188,0)</f>
        <v>0</v>
      </c>
      <c r="V161" s="11">
        <f>ROUND([3]EV.ACCIONES.aux!$M107/1000000*$S$187/$S$188,0)</f>
        <v>0</v>
      </c>
    </row>
    <row r="162" spans="1:22" s="11" customFormat="1" ht="30" customHeight="1" x14ac:dyDescent="0.25">
      <c r="A162" s="54"/>
      <c r="B162" s="52" t="str">
        <f>[2]SA!A24</f>
        <v>SA-PY.2.9 Dotación de oficinas</v>
      </c>
      <c r="C162" s="52"/>
      <c r="D162" s="6" t="str">
        <f>[2]SA!D24</f>
        <v># Oficinas dotadas</v>
      </c>
      <c r="E162" s="6">
        <f>+[1]SA!B24</f>
        <v>183</v>
      </c>
      <c r="F162" s="6">
        <f>+[1]SA!C24</f>
        <v>198</v>
      </c>
      <c r="G162" s="5">
        <f t="shared" si="203"/>
        <v>15</v>
      </c>
      <c r="H162" s="6">
        <v>72</v>
      </c>
      <c r="I162" s="33">
        <f>+'[1]METAS SA'!O15+'[1]METAS SA'!AD15</f>
        <v>14</v>
      </c>
      <c r="J162" s="7">
        <f t="shared" si="204"/>
        <v>0.19444444444444445</v>
      </c>
      <c r="K162" s="8" t="str">
        <f t="shared" si="90"/>
        <v>MUY BAJO</v>
      </c>
      <c r="L162" s="7">
        <f t="shared" si="205"/>
        <v>0.14285714285714285</v>
      </c>
      <c r="M162" s="8" t="str">
        <f t="shared" si="91"/>
        <v>MUY BAJO</v>
      </c>
      <c r="N162" s="7">
        <f t="shared" si="206"/>
        <v>2.7777777777777776E-2</v>
      </c>
      <c r="O162" s="8" t="str">
        <f t="shared" si="92"/>
        <v>MUY BAJO</v>
      </c>
      <c r="P162" s="9">
        <f t="shared" si="207"/>
        <v>144</v>
      </c>
      <c r="Q162" s="9">
        <f>([1]SA!F24+[1]SA!H24)/1000000</f>
        <v>1008</v>
      </c>
      <c r="R162" s="9">
        <f t="shared" si="208"/>
        <v>864</v>
      </c>
      <c r="S162" s="9">
        <f>ROUND([1]EV.ACCIONES.aux!M108/1000000*$S$187/$S$188,0)-V162</f>
        <v>0</v>
      </c>
      <c r="T162" s="9">
        <f t="shared" si="209"/>
        <v>144</v>
      </c>
      <c r="U162" s="11">
        <f>ROUND([2]EV_ACCIONES!$I108/1000000*$S$187/$S$188,0)</f>
        <v>144</v>
      </c>
      <c r="V162" s="11">
        <f>ROUND([3]EV.ACCIONES.aux!$M108/1000000*$S$187/$S$188,0)</f>
        <v>0</v>
      </c>
    </row>
    <row r="163" spans="1:22" s="11" customFormat="1" ht="44.45" customHeight="1" x14ac:dyDescent="0.25">
      <c r="A163" s="54"/>
      <c r="B163" s="52" t="str">
        <f>[2]SA!A25</f>
        <v>SA-PY.2.10 Mantenimiento de las oficinas</v>
      </c>
      <c r="C163" s="52"/>
      <c r="D163" s="6" t="str">
        <f>[2]SA!D25</f>
        <v># Oficinas con dotación mantenida</v>
      </c>
      <c r="E163" s="6">
        <f>+[1]SA!B25</f>
        <v>183</v>
      </c>
      <c r="F163" s="6">
        <f>+[1]SA!C25</f>
        <v>98</v>
      </c>
      <c r="G163" s="5">
        <f t="shared" si="203"/>
        <v>-85</v>
      </c>
      <c r="H163" s="6">
        <v>36</v>
      </c>
      <c r="I163" s="33">
        <f>+'[1]METAS SA'!O16+'[1]METAS SA'!AD16</f>
        <v>103</v>
      </c>
      <c r="J163" s="7">
        <f t="shared" si="204"/>
        <v>2.8611111111111112</v>
      </c>
      <c r="K163" s="8" t="str">
        <f t="shared" si="90"/>
        <v>MUY ALTO</v>
      </c>
      <c r="L163" s="7">
        <f t="shared" si="205"/>
        <v>0</v>
      </c>
      <c r="M163" s="8" t="str">
        <f t="shared" si="91"/>
        <v>MUY BAJO</v>
      </c>
      <c r="N163" s="7">
        <f t="shared" si="206"/>
        <v>0</v>
      </c>
      <c r="O163" s="8" t="str">
        <f t="shared" si="92"/>
        <v>MUY BAJO</v>
      </c>
      <c r="P163" s="9">
        <f t="shared" si="207"/>
        <v>0</v>
      </c>
      <c r="Q163" s="9">
        <f>([1]SA!F25+[1]SA!H25)/1000000</f>
        <v>504</v>
      </c>
      <c r="R163" s="9">
        <f t="shared" si="208"/>
        <v>504</v>
      </c>
      <c r="S163" s="9">
        <f>ROUND([1]EV.ACCIONES.aux!M109/1000000*$S$187/$S$188,0)-V163</f>
        <v>0</v>
      </c>
      <c r="T163" s="9">
        <f t="shared" si="209"/>
        <v>0</v>
      </c>
      <c r="U163" s="11">
        <f>ROUND([2]EV_ACCIONES!$I109/1000000*$S$187/$S$188,0)</f>
        <v>0</v>
      </c>
      <c r="V163" s="11">
        <f>ROUND([3]EV.ACCIONES.aux!$M109/1000000*$S$187/$S$188,0)</f>
        <v>0</v>
      </c>
    </row>
    <row r="164" spans="1:22" s="11" customFormat="1" ht="30" customHeight="1" x14ac:dyDescent="0.25">
      <c r="A164" s="54"/>
      <c r="B164" s="52" t="str">
        <f>[2]SA!A26</f>
        <v>SA-PY.2.11 Adquirir bibliografía fisica y Digital</v>
      </c>
      <c r="C164" s="52"/>
      <c r="D164" s="6" t="str">
        <f>[2]SA!D26</f>
        <v># Libros</v>
      </c>
      <c r="E164" s="6">
        <f>+[1]SA!B26</f>
        <v>26110</v>
      </c>
      <c r="F164" s="6">
        <f>+[1]SA!C26</f>
        <v>88610</v>
      </c>
      <c r="G164" s="5">
        <f t="shared" si="203"/>
        <v>62500</v>
      </c>
      <c r="H164" s="6">
        <v>4000</v>
      </c>
      <c r="I164" s="33">
        <f>+'[1]METAS SA'!O17+'[1]METAS SA'!AD17</f>
        <v>1416</v>
      </c>
      <c r="J164" s="7">
        <f t="shared" si="204"/>
        <v>0.35399999999999998</v>
      </c>
      <c r="K164" s="8" t="str">
        <f t="shared" si="90"/>
        <v>BAJO</v>
      </c>
      <c r="L164" s="7">
        <f t="shared" si="205"/>
        <v>0.47385620915032678</v>
      </c>
      <c r="M164" s="8" t="str">
        <f t="shared" si="91"/>
        <v>MEDIO</v>
      </c>
      <c r="N164" s="7">
        <f t="shared" si="206"/>
        <v>0.16774509803921567</v>
      </c>
      <c r="O164" s="8" t="str">
        <f t="shared" si="92"/>
        <v>MUY BAJO</v>
      </c>
      <c r="P164" s="9">
        <f t="shared" si="207"/>
        <v>290</v>
      </c>
      <c r="Q164" s="9">
        <f>([1]SA!F26+[1]SA!H26)/1000000</f>
        <v>612</v>
      </c>
      <c r="R164" s="9">
        <f t="shared" si="208"/>
        <v>322</v>
      </c>
      <c r="S164" s="9">
        <f>ROUND([1]EV.ACCIONES.aux!M110/1000000*$S$187/$S$188,0)-V164</f>
        <v>36</v>
      </c>
      <c r="T164" s="9">
        <f t="shared" si="209"/>
        <v>254</v>
      </c>
      <c r="U164" s="11">
        <f>ROUND([2]EV_ACCIONES!$I110/1000000*$S$187/$S$188,0)</f>
        <v>251</v>
      </c>
      <c r="V164" s="11">
        <f>ROUND([3]EV.ACCIONES.aux!$M110/1000000*$S$187/$S$188,0)</f>
        <v>3</v>
      </c>
    </row>
    <row r="165" spans="1:22" s="11" customFormat="1" ht="30" customHeight="1" x14ac:dyDescent="0.25">
      <c r="A165" s="54"/>
      <c r="B165" s="52" t="str">
        <f>[2]SA!A27</f>
        <v>SA-PY.2.12 Acceso a bases de datos (bibliografía)</v>
      </c>
      <c r="C165" s="52"/>
      <c r="D165" s="6" t="str">
        <f>[2]SA!D27</f>
        <v># Bases de datos</v>
      </c>
      <c r="E165" s="6">
        <f>+[1]SA!B27</f>
        <v>11</v>
      </c>
      <c r="F165" s="6">
        <f>+[1]SA!C27</f>
        <v>21</v>
      </c>
      <c r="G165" s="5">
        <f t="shared" si="203"/>
        <v>10</v>
      </c>
      <c r="H165" s="6">
        <v>26</v>
      </c>
      <c r="I165" s="33">
        <f>+'[1]METAS SA'!O18+'[1]METAS SA'!AD18</f>
        <v>14</v>
      </c>
      <c r="J165" s="7">
        <f t="shared" si="204"/>
        <v>0.53846153846153844</v>
      </c>
      <c r="K165" s="8" t="str">
        <f t="shared" si="90"/>
        <v>MEDIO</v>
      </c>
      <c r="L165" s="7">
        <f t="shared" si="205"/>
        <v>0.45538461538461539</v>
      </c>
      <c r="M165" s="8" t="str">
        <f t="shared" si="91"/>
        <v>MEDIO</v>
      </c>
      <c r="N165" s="7">
        <f t="shared" si="206"/>
        <v>0.24520710059171597</v>
      </c>
      <c r="O165" s="8" t="str">
        <f t="shared" si="92"/>
        <v>BAJO</v>
      </c>
      <c r="P165" s="9">
        <f t="shared" si="207"/>
        <v>592</v>
      </c>
      <c r="Q165" s="9">
        <f>([1]SA!F27+[1]SA!H27)/1000000</f>
        <v>1300</v>
      </c>
      <c r="R165" s="9">
        <f t="shared" si="208"/>
        <v>708</v>
      </c>
      <c r="S165" s="9">
        <f>ROUND([1]EV.ACCIONES.aux!M111/1000000*$S$187/$S$188,0)-V165</f>
        <v>0</v>
      </c>
      <c r="T165" s="9">
        <f t="shared" si="209"/>
        <v>592</v>
      </c>
      <c r="U165" s="11">
        <f>ROUND([2]EV_ACCIONES!$I111/1000000*$S$187/$S$188,0)</f>
        <v>592</v>
      </c>
      <c r="V165" s="11">
        <f>ROUND([3]EV.ACCIONES.aux!$M111/1000000*$S$187/$S$188,0)</f>
        <v>0</v>
      </c>
    </row>
    <row r="166" spans="1:22" ht="30" customHeight="1" thickBot="1" x14ac:dyDescent="0.3">
      <c r="A166" s="54"/>
      <c r="B166" s="53" t="s">
        <v>48</v>
      </c>
      <c r="C166" s="53"/>
      <c r="D166" s="23"/>
      <c r="E166" s="23"/>
      <c r="F166" s="23"/>
      <c r="G166" s="23"/>
      <c r="H166" s="23"/>
      <c r="I166" s="38"/>
      <c r="J166" s="24">
        <f>AVERAGE(J154:J165)</f>
        <v>0.48827067063507745</v>
      </c>
      <c r="K166" s="8" t="str">
        <f t="shared" si="90"/>
        <v>MEDIO</v>
      </c>
      <c r="L166" s="24">
        <f>[1]EV.PROYECTOS!L29</f>
        <v>1.750612721756863E-2</v>
      </c>
      <c r="M166" s="8" t="str">
        <f t="shared" si="91"/>
        <v>MUY BAJO</v>
      </c>
      <c r="N166" s="24">
        <f>+J166*L166</f>
        <v>8.5477284767452172E-3</v>
      </c>
      <c r="O166" s="8" t="str">
        <f t="shared" si="92"/>
        <v>MUY BAJO</v>
      </c>
      <c r="P166" s="14">
        <f>SUM(P154:P165)</f>
        <v>2665</v>
      </c>
      <c r="Q166" s="14">
        <f t="shared" ref="Q166:T166" si="210">SUM(Q154:Q165)</f>
        <v>14423</v>
      </c>
      <c r="R166" s="14">
        <f t="shared" si="210"/>
        <v>11758</v>
      </c>
      <c r="S166" s="14">
        <f t="shared" si="210"/>
        <v>47</v>
      </c>
      <c r="T166" s="14">
        <f t="shared" si="210"/>
        <v>2618</v>
      </c>
    </row>
    <row r="167" spans="1:22" s="11" customFormat="1" ht="30" customHeight="1" x14ac:dyDescent="0.25">
      <c r="A167" s="54"/>
      <c r="B167" s="52" t="str">
        <f>[2]SA!A33</f>
        <v>SA-PY.3.1 Adquisición de equipos con destino de información y comunicación</v>
      </c>
      <c r="C167" s="52"/>
      <c r="D167" s="6" t="str">
        <f>[2]SA!D33</f>
        <v># Equipos</v>
      </c>
      <c r="E167" s="6">
        <f>+[1]SA!B33</f>
        <v>2132</v>
      </c>
      <c r="F167" s="6">
        <f>+[1]SA!C33</f>
        <v>3212</v>
      </c>
      <c r="G167" s="5">
        <f t="shared" ref="G167:G171" si="211">+F167-E167</f>
        <v>1080</v>
      </c>
      <c r="H167" s="6">
        <v>432</v>
      </c>
      <c r="I167" s="33">
        <f>+'[1]METAS SA'!O19+'[1]METAS SA'!AD19</f>
        <v>1788</v>
      </c>
      <c r="J167" s="7">
        <f t="shared" ref="J167:J171" si="212">+I167/H167</f>
        <v>4.1388888888888893</v>
      </c>
      <c r="K167" s="8" t="str">
        <f t="shared" si="90"/>
        <v>MUY ALTO</v>
      </c>
      <c r="L167" s="7">
        <f t="shared" ref="L167:L171" si="213">+P167/Q167</f>
        <v>0.49214285714285716</v>
      </c>
      <c r="M167" s="8" t="str">
        <f t="shared" si="91"/>
        <v>MEDIO</v>
      </c>
      <c r="N167" s="7">
        <f t="shared" ref="N167:N171" si="214">+J167*L167</f>
        <v>2.0369246031746036</v>
      </c>
      <c r="O167" s="8" t="str">
        <f t="shared" si="92"/>
        <v>MUY ALTO</v>
      </c>
      <c r="P167" s="9">
        <f t="shared" ref="P167:P171" si="215">+S167+T167</f>
        <v>689</v>
      </c>
      <c r="Q167" s="9">
        <f>([1]SA!F33+[1]SA!H33)/1000000</f>
        <v>1400</v>
      </c>
      <c r="R167" s="9">
        <f t="shared" ref="R167:R171" si="216">+Q167-P167</f>
        <v>711</v>
      </c>
      <c r="S167" s="9">
        <f>ROUND([1]EV.ACCIONES.aux!M112/1000000*$S$187/$S$188,0)-V167</f>
        <v>13</v>
      </c>
      <c r="T167" s="9">
        <f t="shared" ref="T167:T171" si="217">+U167+V167</f>
        <v>676</v>
      </c>
      <c r="U167" s="11">
        <f>ROUND([2]EV_ACCIONES!$I112/1000000*$S$187/$S$188,0)</f>
        <v>676</v>
      </c>
      <c r="V167" s="11">
        <f>ROUND([3]EV.ACCIONES.aux!$M112/1000000*$S$187/$S$188,0)</f>
        <v>0</v>
      </c>
    </row>
    <row r="168" spans="1:22" s="11" customFormat="1" ht="30" customHeight="1" x14ac:dyDescent="0.25">
      <c r="A168" s="54"/>
      <c r="B168" s="52" t="str">
        <f>[2]SA!A34</f>
        <v>SA-PY.3.2 Mantenimiento de equipos con destino de información y comunicación</v>
      </c>
      <c r="C168" s="52"/>
      <c r="D168" s="6" t="str">
        <f>[2]SA!D34</f>
        <v># Equipos mantenidos</v>
      </c>
      <c r="E168" s="6">
        <f>+[1]SA!B34</f>
        <v>2132</v>
      </c>
      <c r="F168" s="6">
        <f>+[1]SA!C34</f>
        <v>2996</v>
      </c>
      <c r="G168" s="5">
        <f t="shared" si="211"/>
        <v>864</v>
      </c>
      <c r="H168" s="6">
        <v>4480</v>
      </c>
      <c r="I168" s="33">
        <f>+'[1]METAS SA'!O20+'[1]METAS SA'!AD20</f>
        <v>1311</v>
      </c>
      <c r="J168" s="7">
        <f t="shared" si="212"/>
        <v>0.29263392857142856</v>
      </c>
      <c r="K168" s="8" t="str">
        <f t="shared" si="90"/>
        <v>BAJO</v>
      </c>
      <c r="L168" s="7">
        <f t="shared" si="213"/>
        <v>0.23620689655172414</v>
      </c>
      <c r="M168" s="8" t="str">
        <f t="shared" si="91"/>
        <v>BAJO</v>
      </c>
      <c r="N168" s="7">
        <f t="shared" si="214"/>
        <v>6.9122152093596054E-2</v>
      </c>
      <c r="O168" s="8" t="str">
        <f t="shared" si="92"/>
        <v>MUY BAJO</v>
      </c>
      <c r="P168" s="9">
        <f t="shared" si="215"/>
        <v>137</v>
      </c>
      <c r="Q168" s="9">
        <f>([1]SA!F34+[1]SA!H34)/1000000</f>
        <v>580</v>
      </c>
      <c r="R168" s="9">
        <f t="shared" si="216"/>
        <v>443</v>
      </c>
      <c r="S168" s="9">
        <f>ROUND([1]EV.ACCIONES.aux!M113/1000000*$S$187/$S$188,0)-V168</f>
        <v>9</v>
      </c>
      <c r="T168" s="9">
        <f t="shared" si="217"/>
        <v>128</v>
      </c>
      <c r="U168" s="11">
        <f>ROUND([2]EV_ACCIONES!$I113/1000000*$S$187/$S$188,0)</f>
        <v>86</v>
      </c>
      <c r="V168" s="11">
        <f>ROUND([3]EV.ACCIONES.aux!$M113/1000000*$S$187/$S$188,0)</f>
        <v>42</v>
      </c>
    </row>
    <row r="169" spans="1:22" s="11" customFormat="1" ht="30" customHeight="1" x14ac:dyDescent="0.25">
      <c r="A169" s="54"/>
      <c r="B169" s="52" t="str">
        <f>[2]SA!A35</f>
        <v>SA-PY.3.3 Desarrollo de Aplicativos</v>
      </c>
      <c r="C169" s="52"/>
      <c r="D169" s="6" t="str">
        <f>[2]SA!D35</f>
        <v># Aplicativos nuevos</v>
      </c>
      <c r="E169" s="6">
        <f>+[1]SA!B35</f>
        <v>30</v>
      </c>
      <c r="F169" s="6">
        <f>+[1]SA!C35</f>
        <v>36</v>
      </c>
      <c r="G169" s="5">
        <f t="shared" si="211"/>
        <v>6</v>
      </c>
      <c r="H169" s="6">
        <v>4</v>
      </c>
      <c r="I169" s="33">
        <f>+'[1]METAS SA'!O21+'[1]METAS SA'!AD21</f>
        <v>20</v>
      </c>
      <c r="J169" s="7">
        <f t="shared" si="212"/>
        <v>5</v>
      </c>
      <c r="K169" s="8" t="str">
        <f t="shared" si="90"/>
        <v>MUY ALTO</v>
      </c>
      <c r="L169" s="7">
        <f t="shared" si="213"/>
        <v>0.50390625</v>
      </c>
      <c r="M169" s="8" t="str">
        <f t="shared" si="91"/>
        <v>MEDIO</v>
      </c>
      <c r="N169" s="7">
        <f t="shared" si="214"/>
        <v>2.51953125</v>
      </c>
      <c r="O169" s="8" t="str">
        <f t="shared" si="92"/>
        <v>MUY ALTO</v>
      </c>
      <c r="P169" s="9">
        <f t="shared" si="215"/>
        <v>258</v>
      </c>
      <c r="Q169" s="9">
        <f>([1]SA!F35+[1]SA!H35)/1000000</f>
        <v>512</v>
      </c>
      <c r="R169" s="9">
        <f t="shared" si="216"/>
        <v>254</v>
      </c>
      <c r="S169" s="9">
        <f>ROUND([1]EV.ACCIONES.aux!M114/1000000*$S$187/$S$188,0)-V169</f>
        <v>6</v>
      </c>
      <c r="T169" s="9">
        <f t="shared" si="217"/>
        <v>252</v>
      </c>
      <c r="U169" s="11">
        <f>ROUND([2]EV_ACCIONES!$I114/1000000*$S$187/$S$188,0)</f>
        <v>200</v>
      </c>
      <c r="V169" s="11">
        <f>ROUND([3]EV.ACCIONES.aux!$M114/1000000*$S$187/$S$188,0)</f>
        <v>52</v>
      </c>
    </row>
    <row r="170" spans="1:22" s="11" customFormat="1" ht="47.45" customHeight="1" x14ac:dyDescent="0.25">
      <c r="A170" s="54"/>
      <c r="B170" s="52" t="str">
        <f>[2]SA!A36</f>
        <v>SA-PY.3.4 Mantenimiento y adecuaciones a aplicativos</v>
      </c>
      <c r="C170" s="52"/>
      <c r="D170" s="6" t="str">
        <f>[2]SA!D36</f>
        <v># Aplicativos adecuados y mantenidos</v>
      </c>
      <c r="E170" s="6">
        <f>+[1]SA!B36</f>
        <v>30</v>
      </c>
      <c r="F170" s="6">
        <f>+[1]SA!C36</f>
        <v>35</v>
      </c>
      <c r="G170" s="5">
        <f t="shared" si="211"/>
        <v>5</v>
      </c>
      <c r="H170" s="6">
        <v>61</v>
      </c>
      <c r="I170" s="33">
        <f>+'[1]METAS SA'!O22+'[1]METAS SA'!AD22</f>
        <v>848</v>
      </c>
      <c r="J170" s="7">
        <f t="shared" si="212"/>
        <v>13.901639344262295</v>
      </c>
      <c r="K170" s="8" t="str">
        <f t="shared" si="90"/>
        <v>MUY ALTO</v>
      </c>
      <c r="L170" s="7">
        <f t="shared" si="213"/>
        <v>0.7084038353073886</v>
      </c>
      <c r="M170" s="8" t="str">
        <f t="shared" si="91"/>
        <v>ALTO</v>
      </c>
      <c r="N170" s="7">
        <f t="shared" si="214"/>
        <v>9.8479746285354999</v>
      </c>
      <c r="O170" s="8" t="str">
        <f t="shared" si="92"/>
        <v>MUY ALTO</v>
      </c>
      <c r="P170" s="9">
        <f t="shared" si="215"/>
        <v>628</v>
      </c>
      <c r="Q170" s="9">
        <f>([1]SA!F36+[1]SA!H36)/1000000</f>
        <v>886.5</v>
      </c>
      <c r="R170" s="9">
        <f t="shared" si="216"/>
        <v>258.5</v>
      </c>
      <c r="S170" s="9">
        <f>ROUND([1]EV.ACCIONES.aux!M115/1000000*$S$187/$S$188,0)-V170</f>
        <v>98</v>
      </c>
      <c r="T170" s="9">
        <f t="shared" si="217"/>
        <v>530</v>
      </c>
      <c r="U170" s="11">
        <f>ROUND([2]EV_ACCIONES!$I115/1000000*$S$187/$S$188,0)</f>
        <v>363</v>
      </c>
      <c r="V170" s="11">
        <f>ROUND([3]EV.ACCIONES.aux!$M115/1000000*$S$187/$S$188,0)</f>
        <v>167</v>
      </c>
    </row>
    <row r="171" spans="1:22" s="11" customFormat="1" ht="30" customHeight="1" x14ac:dyDescent="0.25">
      <c r="A171" s="54"/>
      <c r="B171" s="52" t="str">
        <f>[2]SA!A37</f>
        <v>SA-PY.3.5 Adquisición y Renovación de licencias</v>
      </c>
      <c r="C171" s="52"/>
      <c r="D171" s="6" t="str">
        <f>[2]SA!D37</f>
        <v># de licencias</v>
      </c>
      <c r="E171" s="6">
        <f>+[1]SA!B37</f>
        <v>5674</v>
      </c>
      <c r="F171" s="6">
        <f>+[1]SA!C37</f>
        <v>5674</v>
      </c>
      <c r="G171" s="5">
        <f t="shared" si="211"/>
        <v>0</v>
      </c>
      <c r="H171" s="6">
        <v>11348</v>
      </c>
      <c r="I171" s="33">
        <f>+'[1]METAS SA'!O23+'[1]METAS SA'!AD23</f>
        <v>610</v>
      </c>
      <c r="J171" s="7">
        <f t="shared" si="212"/>
        <v>5.37539654564681E-2</v>
      </c>
      <c r="K171" s="8" t="str">
        <f t="shared" si="90"/>
        <v>MUY BAJO</v>
      </c>
      <c r="L171" s="7">
        <f t="shared" si="213"/>
        <v>0.59411764705882353</v>
      </c>
      <c r="M171" s="8" t="str">
        <f t="shared" si="91"/>
        <v>MEDIO</v>
      </c>
      <c r="N171" s="7">
        <f t="shared" si="214"/>
        <v>3.1936179477078108E-2</v>
      </c>
      <c r="O171" s="8" t="str">
        <f t="shared" si="92"/>
        <v>MUY BAJO</v>
      </c>
      <c r="P171" s="9">
        <f t="shared" si="215"/>
        <v>606</v>
      </c>
      <c r="Q171" s="9">
        <f>([1]SA!F37+[1]SA!H37)/1000000</f>
        <v>1020</v>
      </c>
      <c r="R171" s="9">
        <f t="shared" si="216"/>
        <v>414</v>
      </c>
      <c r="S171" s="9">
        <f>ROUND([1]EV.ACCIONES.aux!M116/1000000*$S$187/$S$188,0)-V171</f>
        <v>0</v>
      </c>
      <c r="T171" s="9">
        <f t="shared" si="217"/>
        <v>606</v>
      </c>
      <c r="U171" s="11">
        <f>ROUND([2]EV_ACCIONES!$I116/1000000*$S$187/$S$188,0)</f>
        <v>580</v>
      </c>
      <c r="V171" s="11">
        <f>ROUND([3]EV.ACCIONES.aux!$M116/1000000*$S$187/$S$188,0)</f>
        <v>26</v>
      </c>
    </row>
    <row r="172" spans="1:22" ht="30" customHeight="1" thickBot="1" x14ac:dyDescent="0.3">
      <c r="A172" s="54"/>
      <c r="B172" s="53" t="s">
        <v>49</v>
      </c>
      <c r="C172" s="53"/>
      <c r="D172" s="23"/>
      <c r="E172" s="23"/>
      <c r="F172" s="23"/>
      <c r="G172" s="23"/>
      <c r="H172" s="23"/>
      <c r="I172" s="38"/>
      <c r="J172" s="24">
        <f>AVERAGE(J167:J171)</f>
        <v>4.6773832254358165</v>
      </c>
      <c r="K172" s="8" t="str">
        <f t="shared" si="90"/>
        <v>MUY ALTO</v>
      </c>
      <c r="L172" s="24">
        <f>[1]EV.PROYECTOS!L30</f>
        <v>0.29461086007631665</v>
      </c>
      <c r="M172" s="8" t="str">
        <f t="shared" si="91"/>
        <v>BAJO</v>
      </c>
      <c r="N172" s="24">
        <f>+J172*L172</f>
        <v>1.3780078949521819</v>
      </c>
      <c r="O172" s="8" t="str">
        <f t="shared" si="92"/>
        <v>MUY ALTO</v>
      </c>
      <c r="P172" s="14">
        <f>SUM(P167:P171)</f>
        <v>2318</v>
      </c>
      <c r="Q172" s="14">
        <f t="shared" ref="Q172:T172" si="218">SUM(Q167:Q171)</f>
        <v>4398.5</v>
      </c>
      <c r="R172" s="14">
        <f t="shared" si="218"/>
        <v>2080.5</v>
      </c>
      <c r="S172" s="14">
        <f t="shared" si="218"/>
        <v>126</v>
      </c>
      <c r="T172" s="14">
        <f t="shared" si="218"/>
        <v>2192</v>
      </c>
    </row>
    <row r="173" spans="1:22" s="11" customFormat="1" ht="47.45" customHeight="1" x14ac:dyDescent="0.25">
      <c r="A173" s="54"/>
      <c r="B173" s="52" t="str">
        <f>[2]SA!A43</f>
        <v>SA-PY.4.1 Desarrollo del Sistema de gestión de Calidad</v>
      </c>
      <c r="C173" s="52"/>
      <c r="D173" s="6" t="str">
        <f>[2]SA!D43</f>
        <v># Certificaciones en la norma NTC ISO 9001:2015</v>
      </c>
      <c r="E173" s="6">
        <f>+[1]SA!B43</f>
        <v>3</v>
      </c>
      <c r="F173" s="6">
        <f>+[1]SA!C43</f>
        <v>3</v>
      </c>
      <c r="G173" s="5">
        <f t="shared" ref="G173:G179" si="219">+F173-E173</f>
        <v>0</v>
      </c>
      <c r="H173" s="6">
        <v>6</v>
      </c>
      <c r="I173" s="33">
        <f>+'[1]METAS SA'!O24+'[1]METAS SA'!AD24</f>
        <v>2</v>
      </c>
      <c r="J173" s="7">
        <f t="shared" ref="J173:J179" si="220">+I173/H173</f>
        <v>0.33333333333333331</v>
      </c>
      <c r="K173" s="8" t="str">
        <f t="shared" si="90"/>
        <v>BAJO</v>
      </c>
      <c r="L173" s="7">
        <f t="shared" ref="L173:L179" si="221">+P173/Q173</f>
        <v>0.62045454545454548</v>
      </c>
      <c r="M173" s="8" t="str">
        <f t="shared" si="91"/>
        <v>ALTO</v>
      </c>
      <c r="N173" s="7">
        <f t="shared" ref="N173:N179" si="222">+J173*L173</f>
        <v>0.20681818181818182</v>
      </c>
      <c r="O173" s="8" t="str">
        <f t="shared" si="92"/>
        <v>BAJO</v>
      </c>
      <c r="P173" s="9">
        <f t="shared" ref="P173:P179" si="223">+S173+T173</f>
        <v>273</v>
      </c>
      <c r="Q173" s="9">
        <f>([1]SA!F43+[1]SA!H43)/1000000</f>
        <v>440</v>
      </c>
      <c r="R173" s="9">
        <f t="shared" ref="R173:R179" si="224">+Q173-P173</f>
        <v>167</v>
      </c>
      <c r="S173" s="9">
        <f>ROUND([1]EV.ACCIONES.aux!M117/1000000*$S$187/$S$188,0)-V173</f>
        <v>18</v>
      </c>
      <c r="T173" s="9">
        <f t="shared" ref="T173:T179" si="225">+U173+V173</f>
        <v>255</v>
      </c>
      <c r="U173" s="11">
        <f>ROUND([2]EV_ACCIONES!$I117/1000000*$S$187/$S$188,0)</f>
        <v>190</v>
      </c>
      <c r="V173" s="11">
        <f>ROUND([3]EV.ACCIONES.aux!$M117/1000000*$S$187/$S$188,0)</f>
        <v>65</v>
      </c>
    </row>
    <row r="174" spans="1:22" s="11" customFormat="1" ht="51.6" customHeight="1" x14ac:dyDescent="0.25">
      <c r="A174" s="54"/>
      <c r="B174" s="52" t="str">
        <f>[2]SA!A44</f>
        <v>SA-PY.4.2 Desarrollo documental de los requisitos generales para la competencias de los laboratorios de prueba y calibración</v>
      </c>
      <c r="C174" s="52"/>
      <c r="D174" s="6" t="str">
        <f>[2]SA!D44</f>
        <v xml:space="preserve">Acreditación de laboratorios en la NTC ISO 17025 </v>
      </c>
      <c r="E174" s="6">
        <f>+[1]SA!B44</f>
        <v>2</v>
      </c>
      <c r="F174" s="6">
        <f>+[1]SA!C44</f>
        <v>2</v>
      </c>
      <c r="G174" s="5">
        <f t="shared" si="219"/>
        <v>0</v>
      </c>
      <c r="H174" s="6">
        <v>4</v>
      </c>
      <c r="I174" s="33">
        <f>+'[1]METAS SA'!O25+'[1]METAS SA'!AD25</f>
        <v>0</v>
      </c>
      <c r="J174" s="7">
        <f t="shared" si="220"/>
        <v>0</v>
      </c>
      <c r="K174" s="8" t="str">
        <f t="shared" si="90"/>
        <v>MUY BAJO</v>
      </c>
      <c r="L174" s="7">
        <f t="shared" si="221"/>
        <v>4.3478260869565216E-2</v>
      </c>
      <c r="M174" s="8" t="str">
        <f t="shared" si="91"/>
        <v>MUY BAJO</v>
      </c>
      <c r="N174" s="7">
        <f t="shared" si="222"/>
        <v>0</v>
      </c>
      <c r="O174" s="8" t="str">
        <f t="shared" si="92"/>
        <v>MUY BAJO</v>
      </c>
      <c r="P174" s="9">
        <f t="shared" si="223"/>
        <v>10</v>
      </c>
      <c r="Q174" s="9">
        <f>([1]SA!F44+[1]SA!H44)/1000000</f>
        <v>230</v>
      </c>
      <c r="R174" s="9">
        <f t="shared" si="224"/>
        <v>220</v>
      </c>
      <c r="S174" s="9">
        <f>ROUND([1]EV.ACCIONES.aux!M118/1000000*$S$187/$S$188,0)-V174</f>
        <v>0</v>
      </c>
      <c r="T174" s="9">
        <f t="shared" si="225"/>
        <v>10</v>
      </c>
      <c r="U174" s="11">
        <f>ROUND([2]EV_ACCIONES!$I118/1000000*$S$187/$S$188,0)</f>
        <v>10</v>
      </c>
      <c r="V174" s="11">
        <f>ROUND([3]EV.ACCIONES.aux!$M118/1000000*$S$187/$S$188,0)</f>
        <v>0</v>
      </c>
    </row>
    <row r="175" spans="1:22" s="11" customFormat="1" ht="46.9" customHeight="1" x14ac:dyDescent="0.25">
      <c r="A175" s="54"/>
      <c r="B175" s="52" t="str">
        <f>[2]SA!A45</f>
        <v>SA-PY.4.3 Desarrollo d el Sistema de gestión Ambiental</v>
      </c>
      <c r="C175" s="52"/>
      <c r="D175" s="6" t="str">
        <f>[2]SA!D45</f>
        <v xml:space="preserve"># Certificaciones norma NTC ISO 14001, </v>
      </c>
      <c r="E175" s="6">
        <f>+[1]SA!B45</f>
        <v>5</v>
      </c>
      <c r="F175" s="6">
        <f>+[1]SA!C45</f>
        <v>5</v>
      </c>
      <c r="G175" s="5">
        <f t="shared" si="219"/>
        <v>0</v>
      </c>
      <c r="H175" s="6">
        <v>10</v>
      </c>
      <c r="I175" s="33">
        <f>+'[1]METAS SA'!O26+'[1]METAS SA'!AD26</f>
        <v>2</v>
      </c>
      <c r="J175" s="7">
        <f t="shared" si="220"/>
        <v>0.2</v>
      </c>
      <c r="K175" s="8" t="str">
        <f t="shared" si="90"/>
        <v>MUY BAJO</v>
      </c>
      <c r="L175" s="7">
        <f t="shared" si="221"/>
        <v>0.51964285714285718</v>
      </c>
      <c r="M175" s="8" t="str">
        <f t="shared" si="91"/>
        <v>MEDIO</v>
      </c>
      <c r="N175" s="7">
        <f t="shared" si="222"/>
        <v>0.10392857142857144</v>
      </c>
      <c r="O175" s="8" t="str">
        <f t="shared" si="92"/>
        <v>MUY BAJO</v>
      </c>
      <c r="P175" s="9">
        <f t="shared" si="223"/>
        <v>291</v>
      </c>
      <c r="Q175" s="9">
        <f>([1]SA!F45+[1]SA!H45)/1000000</f>
        <v>560</v>
      </c>
      <c r="R175" s="9">
        <f t="shared" si="224"/>
        <v>269</v>
      </c>
      <c r="S175" s="9">
        <f>ROUND([1]EV.ACCIONES.aux!M119/1000000*$S$187/$S$188,0)-V175</f>
        <v>11</v>
      </c>
      <c r="T175" s="9">
        <f t="shared" si="225"/>
        <v>280</v>
      </c>
      <c r="U175" s="11">
        <f>ROUND([2]EV_ACCIONES!$I119/1000000*$S$187/$S$188,0)</f>
        <v>206</v>
      </c>
      <c r="V175" s="11">
        <f>ROUND([3]EV.ACCIONES.aux!$M119/1000000*$S$187/$S$188,0)</f>
        <v>74</v>
      </c>
    </row>
    <row r="176" spans="1:22" s="11" customFormat="1" ht="61.15" customHeight="1" x14ac:dyDescent="0.25">
      <c r="A176" s="54"/>
      <c r="B176" s="52" t="str">
        <f>[2]SA!A46</f>
        <v>SA-PY.4.4 Desarrollar el Sistema de seguridad y salud en el trabajo</v>
      </c>
      <c r="C176" s="52"/>
      <c r="D176" s="6" t="str">
        <f>[2]SA!D46</f>
        <v># Certificaciones norma NTC OHSAS 18001 o  ISO 45001</v>
      </c>
      <c r="E176" s="6">
        <f>+[1]SA!B46</f>
        <v>8</v>
      </c>
      <c r="F176" s="6">
        <f>+[1]SA!C46</f>
        <v>8</v>
      </c>
      <c r="G176" s="5">
        <f t="shared" si="219"/>
        <v>0</v>
      </c>
      <c r="H176" s="6">
        <v>2</v>
      </c>
      <c r="I176" s="33">
        <f>+'[1]METAS SA'!O27+'[1]METAS SA'!AD27</f>
        <v>2</v>
      </c>
      <c r="J176" s="7">
        <f t="shared" si="220"/>
        <v>1</v>
      </c>
      <c r="K176" s="8" t="str">
        <f t="shared" si="90"/>
        <v>MUY ALTO</v>
      </c>
      <c r="L176" s="7">
        <f t="shared" si="221"/>
        <v>0.54749999999999999</v>
      </c>
      <c r="M176" s="8" t="str">
        <f t="shared" si="91"/>
        <v>MEDIO</v>
      </c>
      <c r="N176" s="7">
        <f t="shared" si="222"/>
        <v>0.54749999999999999</v>
      </c>
      <c r="O176" s="8" t="str">
        <f t="shared" si="92"/>
        <v>MEDIO</v>
      </c>
      <c r="P176" s="9">
        <f t="shared" si="223"/>
        <v>219</v>
      </c>
      <c r="Q176" s="9">
        <f>([1]SA!F46+[1]SA!H46)/1000000</f>
        <v>400</v>
      </c>
      <c r="R176" s="9">
        <f t="shared" si="224"/>
        <v>181</v>
      </c>
      <c r="S176" s="9">
        <f>ROUND([1]EV.ACCIONES.aux!M120/1000000*$S$187/$S$188,0)-V176</f>
        <v>27</v>
      </c>
      <c r="T176" s="9">
        <f t="shared" si="225"/>
        <v>192</v>
      </c>
      <c r="U176" s="11">
        <f>ROUND([2]EV_ACCIONES!$I120/1000000*$S$187/$S$188,0)</f>
        <v>124</v>
      </c>
      <c r="V176" s="11">
        <f>ROUND([3]EV.ACCIONES.aux!$M120/1000000*$S$187/$S$188,0)</f>
        <v>68</v>
      </c>
    </row>
    <row r="177" spans="1:22" s="11" customFormat="1" ht="45.6" customHeight="1" x14ac:dyDescent="0.25">
      <c r="A177" s="54"/>
      <c r="B177" s="52" t="str">
        <f>[2]SA!A47</f>
        <v>SA-PY.4.5 Mantener y mejorar el Sistema de gestión de seguridad de la información</v>
      </c>
      <c r="C177" s="52"/>
      <c r="D177" s="6" t="str">
        <f>[2]SA!D47</f>
        <v># Certificaciones en la norma ISO 27000:2015</v>
      </c>
      <c r="E177" s="6">
        <f>+[1]SA!B47</f>
        <v>0</v>
      </c>
      <c r="F177" s="6">
        <f>+[1]SA!C47</f>
        <v>1</v>
      </c>
      <c r="G177" s="5">
        <f t="shared" si="219"/>
        <v>1</v>
      </c>
      <c r="H177" s="6">
        <v>0.6</v>
      </c>
      <c r="I177" s="33">
        <f>+'[1]METAS SA'!O28+'[1]METAS SA'!AD28</f>
        <v>0</v>
      </c>
      <c r="J177" s="7">
        <f t="shared" si="220"/>
        <v>0</v>
      </c>
      <c r="K177" s="8" t="str">
        <f t="shared" si="90"/>
        <v>MUY BAJO</v>
      </c>
      <c r="L177" s="7">
        <f t="shared" si="221"/>
        <v>0.31</v>
      </c>
      <c r="M177" s="8" t="str">
        <f t="shared" si="91"/>
        <v>BAJO</v>
      </c>
      <c r="N177" s="7">
        <f t="shared" si="222"/>
        <v>0</v>
      </c>
      <c r="O177" s="8" t="str">
        <f t="shared" si="92"/>
        <v>MUY BAJO</v>
      </c>
      <c r="P177" s="9">
        <f t="shared" si="223"/>
        <v>124</v>
      </c>
      <c r="Q177" s="9">
        <f>([1]SA!F47+[1]SA!H47)/1000000</f>
        <v>400</v>
      </c>
      <c r="R177" s="9">
        <f t="shared" si="224"/>
        <v>276</v>
      </c>
      <c r="S177" s="9">
        <f>ROUND([1]EV.ACCIONES.aux!M121/1000000*$S$187/$S$188,0)-V177</f>
        <v>0</v>
      </c>
      <c r="T177" s="9">
        <f t="shared" si="225"/>
        <v>124</v>
      </c>
      <c r="U177" s="11">
        <f>ROUND([2]EV_ACCIONES!$I121/1000000*$S$187/$S$188,0)</f>
        <v>67</v>
      </c>
      <c r="V177" s="11">
        <f>ROUND([3]EV.ACCIONES.aux!$M121/1000000*$S$187/$S$188,0)</f>
        <v>57</v>
      </c>
    </row>
    <row r="178" spans="1:22" s="11" customFormat="1" ht="54" customHeight="1" x14ac:dyDescent="0.25">
      <c r="A178" s="54"/>
      <c r="B178" s="52" t="str">
        <f>[2]SA!A48</f>
        <v>SA-PY.4.6 Mantener y mejorar el Sistema de gestión documental</v>
      </c>
      <c r="C178" s="52"/>
      <c r="D178" s="6" t="str">
        <f>[2]SA!D48</f>
        <v>Sistema documental implementado y mantenido</v>
      </c>
      <c r="E178" s="6">
        <f>+[1]SA!B48</f>
        <v>0</v>
      </c>
      <c r="F178" s="6">
        <f>+[1]SA!C48</f>
        <v>1</v>
      </c>
      <c r="G178" s="5">
        <f t="shared" si="219"/>
        <v>1</v>
      </c>
      <c r="H178" s="6">
        <v>2</v>
      </c>
      <c r="I178" s="33">
        <f>+'[1]METAS SA'!O29+'[1]METAS SA'!AD29</f>
        <v>0</v>
      </c>
      <c r="J178" s="7">
        <f t="shared" si="220"/>
        <v>0</v>
      </c>
      <c r="K178" s="8" t="str">
        <f t="shared" si="90"/>
        <v>MUY BAJO</v>
      </c>
      <c r="L178" s="7">
        <f t="shared" si="221"/>
        <v>5.5E-2</v>
      </c>
      <c r="M178" s="8" t="str">
        <f t="shared" si="91"/>
        <v>MUY BAJO</v>
      </c>
      <c r="N178" s="7">
        <f t="shared" si="222"/>
        <v>0</v>
      </c>
      <c r="O178" s="8" t="str">
        <f t="shared" si="92"/>
        <v>MUY BAJO</v>
      </c>
      <c r="P178" s="9">
        <f t="shared" si="223"/>
        <v>22</v>
      </c>
      <c r="Q178" s="9">
        <f>([1]SA!F48+[1]SA!H48)/1000000</f>
        <v>400</v>
      </c>
      <c r="R178" s="9">
        <f t="shared" si="224"/>
        <v>378</v>
      </c>
      <c r="S178" s="9">
        <f>ROUND([1]EV.ACCIONES.aux!M122/1000000*$S$187/$S$188,0)-V178</f>
        <v>3</v>
      </c>
      <c r="T178" s="9">
        <f t="shared" si="225"/>
        <v>19</v>
      </c>
      <c r="U178" s="11">
        <f>ROUND([2]EV_ACCIONES!$I122/1000000*$S$187/$S$188,0)</f>
        <v>11</v>
      </c>
      <c r="V178" s="11">
        <f>ROUND([3]EV.ACCIONES.aux!$M122/1000000*$S$187/$S$188,0)</f>
        <v>8</v>
      </c>
    </row>
    <row r="179" spans="1:22" s="11" customFormat="1" ht="45.6" customHeight="1" x14ac:dyDescent="0.25">
      <c r="A179" s="54"/>
      <c r="B179" s="52" t="str">
        <f>[2]SA!A49</f>
        <v>SA-PY.4.7 Mantener y mejorar el Sistema de gestión de Planeación</v>
      </c>
      <c r="C179" s="52"/>
      <c r="D179" s="6" t="str">
        <f>[2]SA!D49</f>
        <v># de Procesos con sistema de planeación</v>
      </c>
      <c r="E179" s="6">
        <f>+[1]SA!B49</f>
        <v>0</v>
      </c>
      <c r="F179" s="6">
        <f>+[1]SA!C49</f>
        <v>15</v>
      </c>
      <c r="G179" s="5">
        <f t="shared" si="219"/>
        <v>15</v>
      </c>
      <c r="H179" s="6">
        <v>6</v>
      </c>
      <c r="I179" s="33">
        <f>+'[1]METAS SA'!O30+'[1]METAS SA'!AD30</f>
        <v>2</v>
      </c>
      <c r="J179" s="7">
        <f t="shared" si="220"/>
        <v>0.33333333333333331</v>
      </c>
      <c r="K179" s="8" t="str">
        <f t="shared" si="90"/>
        <v>BAJO</v>
      </c>
      <c r="L179" s="7">
        <f t="shared" si="221"/>
        <v>0.68500000000000005</v>
      </c>
      <c r="M179" s="8" t="str">
        <f t="shared" si="91"/>
        <v>ALTO</v>
      </c>
      <c r="N179" s="7">
        <f t="shared" si="222"/>
        <v>0.22833333333333333</v>
      </c>
      <c r="O179" s="8" t="str">
        <f t="shared" si="92"/>
        <v>BAJO</v>
      </c>
      <c r="P179" s="9">
        <f t="shared" si="223"/>
        <v>274</v>
      </c>
      <c r="Q179" s="9">
        <f>([1]SA!F49+[1]SA!H49)/1000000</f>
        <v>400</v>
      </c>
      <c r="R179" s="9">
        <f t="shared" si="224"/>
        <v>126</v>
      </c>
      <c r="S179" s="9">
        <f>ROUND([1]EV.ACCIONES.aux!M123/1000000*$S$187/$S$188,0)-V179</f>
        <v>43</v>
      </c>
      <c r="T179" s="9">
        <f t="shared" si="225"/>
        <v>231</v>
      </c>
      <c r="U179" s="11">
        <f>ROUND([2]EV_ACCIONES!$I123/1000000*$S$187/$S$188,0)</f>
        <v>174</v>
      </c>
      <c r="V179" s="11">
        <f>ROUND([3]EV.ACCIONES.aux!$M123/1000000*$S$187/$S$188,0)</f>
        <v>57</v>
      </c>
    </row>
    <row r="180" spans="1:22" ht="30" customHeight="1" thickBot="1" x14ac:dyDescent="0.3">
      <c r="A180" s="54"/>
      <c r="B180" s="53" t="s">
        <v>50</v>
      </c>
      <c r="C180" s="53"/>
      <c r="D180" s="23"/>
      <c r="E180" s="23"/>
      <c r="F180" s="23"/>
      <c r="G180" s="23"/>
      <c r="H180" s="23"/>
      <c r="I180" s="38"/>
      <c r="J180" s="24">
        <f>AVERAGE(J173:J179)</f>
        <v>0.26666666666666666</v>
      </c>
      <c r="K180" s="8" t="str">
        <f t="shared" si="90"/>
        <v>BAJO</v>
      </c>
      <c r="L180" s="24">
        <f>[1]EV.PROYECTOS!L31</f>
        <v>0.58298611125485122</v>
      </c>
      <c r="M180" s="8" t="str">
        <f t="shared" si="91"/>
        <v>MEDIO</v>
      </c>
      <c r="N180" s="24">
        <f>+J180*L180</f>
        <v>0.15546296300129367</v>
      </c>
      <c r="O180" s="8" t="str">
        <f t="shared" si="92"/>
        <v>MUY BAJO</v>
      </c>
      <c r="P180" s="14">
        <f>SUM(P173:P179)</f>
        <v>1213</v>
      </c>
      <c r="Q180" s="14">
        <f t="shared" ref="Q180:T180" si="226">SUM(Q173:Q179)</f>
        <v>2830</v>
      </c>
      <c r="R180" s="14">
        <f t="shared" si="226"/>
        <v>1617</v>
      </c>
      <c r="S180" s="14">
        <f t="shared" si="226"/>
        <v>102</v>
      </c>
      <c r="T180" s="14">
        <f t="shared" si="226"/>
        <v>1111</v>
      </c>
    </row>
    <row r="181" spans="1:22" s="11" customFormat="1" ht="58.15" customHeight="1" x14ac:dyDescent="0.25">
      <c r="A181" s="54"/>
      <c r="B181" s="52" t="str">
        <f>[2]SA!A55</f>
        <v>SA-PY.5.1 Definir y desarrollar Plan de formación</v>
      </c>
      <c r="C181" s="52"/>
      <c r="D181" s="6" t="str">
        <f>[2]SA!D55</f>
        <v># de Administrativos y Operativos formados</v>
      </c>
      <c r="E181" s="6">
        <f>+[1]SA!B55</f>
        <v>200</v>
      </c>
      <c r="F181" s="6">
        <f>+[1]SA!C55</f>
        <v>110</v>
      </c>
      <c r="G181" s="5">
        <f t="shared" ref="G181:G182" si="227">+F181-E181</f>
        <v>-90</v>
      </c>
      <c r="H181" s="6">
        <v>44</v>
      </c>
      <c r="I181" s="33">
        <f>+'[1]METAS SA'!O31+'[1]METAS SA'!AD31</f>
        <v>61</v>
      </c>
      <c r="J181" s="7">
        <f t="shared" ref="J181:J182" si="228">+I181/H181</f>
        <v>1.3863636363636365</v>
      </c>
      <c r="K181" s="8" t="str">
        <f t="shared" si="90"/>
        <v>MUY ALTO</v>
      </c>
      <c r="L181" s="7">
        <f t="shared" ref="L181:L182" si="229">+P181/Q181</f>
        <v>8.3333333333333329E-2</v>
      </c>
      <c r="M181" s="8" t="str">
        <f t="shared" si="91"/>
        <v>MUY BAJO</v>
      </c>
      <c r="N181" s="7">
        <f t="shared" ref="N181:N182" si="230">+J181*L181</f>
        <v>0.11553030303030304</v>
      </c>
      <c r="O181" s="8" t="str">
        <f t="shared" si="92"/>
        <v>MUY BAJO</v>
      </c>
      <c r="P181" s="9">
        <f t="shared" ref="P181:P182" si="231">+S181+T181</f>
        <v>30</v>
      </c>
      <c r="Q181" s="9">
        <f>([1]SA!F55+[1]SA!H55)/1000000</f>
        <v>360</v>
      </c>
      <c r="R181" s="9">
        <f t="shared" ref="R181:R182" si="232">+Q181-P181</f>
        <v>330</v>
      </c>
      <c r="S181" s="9">
        <f>ROUND([1]EV.ACCIONES.aux!M125/1000000*$S$187/$S$188,0)-V181</f>
        <v>8</v>
      </c>
      <c r="T181" s="9">
        <f t="shared" ref="T181:T182" si="233">+U181+V181</f>
        <v>22</v>
      </c>
      <c r="U181" s="11">
        <f>ROUND([2]EV_ACCIONES!$I124/1000000*$S$187/$S$188,0)</f>
        <v>15</v>
      </c>
      <c r="V181" s="11">
        <f>ROUND([3]EV.ACCIONES.aux!$M124/1000000*$S$187/$S$188,0)</f>
        <v>7</v>
      </c>
    </row>
    <row r="182" spans="1:22" s="11" customFormat="1" ht="58.15" customHeight="1" x14ac:dyDescent="0.25">
      <c r="A182" s="54"/>
      <c r="B182" s="52" t="str">
        <f>[2]SA!A56</f>
        <v xml:space="preserve">SA-PY.5.2 Definir y desarrollar Plan de capacitación </v>
      </c>
      <c r="C182" s="52"/>
      <c r="D182" s="6" t="str">
        <f>[2]SA!D56</f>
        <v># de Administrativos y Operativos capacitados</v>
      </c>
      <c r="E182" s="6">
        <f>+[1]SA!B56</f>
        <v>478</v>
      </c>
      <c r="F182" s="6">
        <f>+[1]SA!C56</f>
        <v>978</v>
      </c>
      <c r="G182" s="5">
        <f t="shared" si="227"/>
        <v>500</v>
      </c>
      <c r="H182" s="6">
        <v>200</v>
      </c>
      <c r="I182" s="33">
        <f>+'[1]METAS SA'!O32+'[1]METAS SA'!AD32</f>
        <v>1106</v>
      </c>
      <c r="J182" s="7">
        <f t="shared" si="228"/>
        <v>5.53</v>
      </c>
      <c r="K182" s="8" t="str">
        <f t="shared" si="90"/>
        <v>MUY ALTO</v>
      </c>
      <c r="L182" s="7">
        <f t="shared" si="229"/>
        <v>0.19375000000000001</v>
      </c>
      <c r="M182" s="8" t="str">
        <f t="shared" si="91"/>
        <v>MUY BAJO</v>
      </c>
      <c r="N182" s="7">
        <f t="shared" si="230"/>
        <v>1.0714375</v>
      </c>
      <c r="O182" s="8" t="str">
        <f t="shared" si="92"/>
        <v>MUY ALTO</v>
      </c>
      <c r="P182" s="9">
        <f t="shared" si="231"/>
        <v>31</v>
      </c>
      <c r="Q182" s="9">
        <f>([1]SA!F56+[1]SA!H56)/1000000</f>
        <v>160</v>
      </c>
      <c r="R182" s="9">
        <f t="shared" si="232"/>
        <v>129</v>
      </c>
      <c r="S182" s="9">
        <f>ROUND([1]EV.ACCIONES.aux!M126/1000000*$S$187/$S$188,0)-V182</f>
        <v>-15</v>
      </c>
      <c r="T182" s="9">
        <f t="shared" si="233"/>
        <v>46</v>
      </c>
      <c r="U182" s="11">
        <f>ROUND([2]EV_ACCIONES!$I125/1000000*$S$187/$S$188,0)</f>
        <v>31</v>
      </c>
      <c r="V182" s="11">
        <f>ROUND([3]EV.ACCIONES.aux!$M125/1000000*$S$187/$S$188,0)</f>
        <v>15</v>
      </c>
    </row>
    <row r="183" spans="1:22" ht="30" customHeight="1" thickBot="1" x14ac:dyDescent="0.3">
      <c r="A183" s="54"/>
      <c r="B183" s="53" t="s">
        <v>51</v>
      </c>
      <c r="C183" s="53"/>
      <c r="D183" s="23"/>
      <c r="E183" s="23"/>
      <c r="F183" s="23"/>
      <c r="G183" s="23"/>
      <c r="H183" s="23"/>
      <c r="I183" s="23"/>
      <c r="J183" s="24">
        <f>AVERAGE(J181:J182)</f>
        <v>3.4581818181818185</v>
      </c>
      <c r="K183" s="8" t="str">
        <f t="shared" si="90"/>
        <v>MUY ALTO</v>
      </c>
      <c r="L183" s="24">
        <f>[1]EV.PROYECTOS!L32</f>
        <v>0.14669915476190476</v>
      </c>
      <c r="M183" s="8" t="str">
        <f t="shared" si="91"/>
        <v>MUY BAJO</v>
      </c>
      <c r="N183" s="24">
        <f>+J183*L183</f>
        <v>0.50731234974025974</v>
      </c>
      <c r="O183" s="8" t="str">
        <f t="shared" si="92"/>
        <v>MEDIO</v>
      </c>
      <c r="P183" s="14">
        <f>SUM(P181:P182)</f>
        <v>61</v>
      </c>
      <c r="Q183" s="14">
        <f t="shared" ref="Q183:T183" si="234">SUM(Q181:Q182)</f>
        <v>520</v>
      </c>
      <c r="R183" s="14">
        <f t="shared" si="234"/>
        <v>459</v>
      </c>
      <c r="S183" s="14">
        <f t="shared" si="234"/>
        <v>-7</v>
      </c>
      <c r="T183" s="14">
        <f t="shared" si="234"/>
        <v>68</v>
      </c>
    </row>
    <row r="184" spans="1:22" ht="34.9" customHeight="1" x14ac:dyDescent="0.25">
      <c r="A184" s="54"/>
      <c r="B184" s="51" t="s">
        <v>52</v>
      </c>
      <c r="C184" s="51"/>
      <c r="D184" s="27"/>
      <c r="E184" s="27"/>
      <c r="F184" s="27"/>
      <c r="G184" s="27"/>
      <c r="H184" s="27"/>
      <c r="I184" s="27"/>
      <c r="J184" s="28">
        <f>AVERAGE(J183,J180,J172,J166,J153)</f>
        <v>1.7970277335678422</v>
      </c>
      <c r="K184" s="8" t="str">
        <f t="shared" si="90"/>
        <v>MUY ALTO</v>
      </c>
      <c r="L184" s="28">
        <f>AVERAGE(L153:L183)</f>
        <v>0.29791861548136633</v>
      </c>
      <c r="M184" s="8" t="str">
        <f t="shared" si="91"/>
        <v>BAJO</v>
      </c>
      <c r="N184" s="28">
        <f>AVERAGE(N153,N166,N172,N180,N183)</f>
        <v>0.42054556368154783</v>
      </c>
      <c r="O184" s="8" t="str">
        <f t="shared" si="92"/>
        <v>MEDIO</v>
      </c>
      <c r="P184" s="29">
        <f>+P183+P180+P172+P166+P153</f>
        <v>17553</v>
      </c>
      <c r="Q184" s="29">
        <f t="shared" ref="Q184:T184" si="235">+Q183+Q180+Q172+Q166+Q153</f>
        <v>41004.416379999995</v>
      </c>
      <c r="R184" s="29">
        <f t="shared" si="235"/>
        <v>23451.416379999999</v>
      </c>
      <c r="S184" s="29">
        <f t="shared" si="235"/>
        <v>7711</v>
      </c>
      <c r="T184" s="29">
        <f t="shared" si="235"/>
        <v>9842</v>
      </c>
    </row>
    <row r="185" spans="1:22" ht="40.15" customHeight="1" x14ac:dyDescent="0.25">
      <c r="A185" s="26"/>
      <c r="B185" s="51" t="s">
        <v>62</v>
      </c>
      <c r="C185" s="51"/>
      <c r="D185" s="27"/>
      <c r="E185" s="27"/>
      <c r="F185" s="27"/>
      <c r="G185" s="27"/>
      <c r="H185" s="27"/>
      <c r="I185" s="27"/>
      <c r="J185" s="28">
        <f>AVERAGE(J184,J147,J122,J64,J28)</f>
        <v>1.6669583525873031</v>
      </c>
      <c r="K185" s="8" t="str">
        <f t="shared" si="90"/>
        <v>MUY ALTO</v>
      </c>
      <c r="L185" s="28">
        <f>AVERAGE(L28,L64,L122,L147,L184)</f>
        <v>0.334546229589544</v>
      </c>
      <c r="M185" s="8" t="str">
        <f t="shared" si="91"/>
        <v>BAJO</v>
      </c>
      <c r="N185" s="28">
        <f>AVERAGE(N28,N64,N122,N147,N184)</f>
        <v>0.74486847699642833</v>
      </c>
      <c r="O185" s="8" t="str">
        <f>IF(N185&lt;=0.2,"MUY BAJO",IF(AND(N185&gt;0.2,N185&lt;=0.4),"BAJO",IF(AND(N185&gt;0.4,N185&lt;=0.6),"MEDIO",IF(AND(N185&gt;0.6,N185&lt;=0.8),"ALTO","MUY ALTO"))))</f>
        <v>ALTO</v>
      </c>
      <c r="P185" s="29">
        <f>+P184+P147+P122+P64+P28</f>
        <v>33271</v>
      </c>
      <c r="Q185" s="29">
        <f t="shared" ref="Q185:T185" si="236">+Q184+Q147+Q122+Q64+Q28</f>
        <v>85639.47679553635</v>
      </c>
      <c r="R185" s="29">
        <f t="shared" si="236"/>
        <v>52368.476795536357</v>
      </c>
      <c r="S185" s="29">
        <f t="shared" si="236"/>
        <v>9310</v>
      </c>
      <c r="T185" s="29">
        <f t="shared" si="236"/>
        <v>23961</v>
      </c>
    </row>
    <row r="186" spans="1:22" ht="21" x14ac:dyDescent="0.35">
      <c r="B186" s="39" t="s">
        <v>53</v>
      </c>
      <c r="C186" s="40">
        <f>+'[4]T-4 2020'!$L$37</f>
        <v>19723</v>
      </c>
      <c r="D186" s="40"/>
      <c r="E186" s="40"/>
      <c r="F186" s="40"/>
      <c r="G186" s="40"/>
      <c r="H186" s="40"/>
      <c r="I186" s="40"/>
      <c r="L186" s="42" t="s">
        <v>54</v>
      </c>
      <c r="R186" s="43" t="s">
        <v>55</v>
      </c>
      <c r="S186" s="43"/>
    </row>
    <row r="187" spans="1:22" x14ac:dyDescent="0.25">
      <c r="B187" s="39" t="s">
        <v>56</v>
      </c>
      <c r="C187" s="40">
        <f>+S185+'[5]T1-2021'!$O$37</f>
        <v>14206</v>
      </c>
      <c r="D187" s="40"/>
      <c r="E187" s="40"/>
      <c r="F187" s="40"/>
      <c r="G187" s="40"/>
      <c r="H187" s="40"/>
      <c r="I187" s="40"/>
      <c r="R187" s="43" t="s">
        <v>57</v>
      </c>
      <c r="S187" s="44">
        <f>+'[1]Indices IPC'!R21</f>
        <v>103.8</v>
      </c>
    </row>
    <row r="188" spans="1:22" x14ac:dyDescent="0.25">
      <c r="B188" s="39" t="s">
        <v>58</v>
      </c>
      <c r="C188" s="40">
        <f>+C186+C187</f>
        <v>33929</v>
      </c>
      <c r="D188" s="40"/>
      <c r="E188" s="40"/>
      <c r="F188" s="40"/>
      <c r="G188" s="40"/>
      <c r="H188" s="40"/>
      <c r="I188" s="40"/>
      <c r="R188" s="45">
        <v>44348</v>
      </c>
      <c r="S188" s="44">
        <f>+'[1]Indices IPC'!T15</f>
        <v>108.78</v>
      </c>
    </row>
    <row r="190" spans="1:22" x14ac:dyDescent="0.25">
      <c r="Q190" s="46"/>
      <c r="R190" s="47"/>
      <c r="S190" s="47"/>
    </row>
    <row r="191" spans="1:22" x14ac:dyDescent="0.25">
      <c r="P191" s="47"/>
    </row>
  </sheetData>
  <autoFilter ref="B3:C188">
    <filterColumn colId="0" showButton="0"/>
  </autoFilter>
  <mergeCells count="200">
    <mergeCell ref="A4:A27"/>
    <mergeCell ref="B4:C4"/>
    <mergeCell ref="B5:C5"/>
    <mergeCell ref="B6:C6"/>
    <mergeCell ref="B7:C7"/>
    <mergeCell ref="B8:C8"/>
    <mergeCell ref="B9:C9"/>
    <mergeCell ref="A1:T1"/>
    <mergeCell ref="A2:A3"/>
    <mergeCell ref="D2:D3"/>
    <mergeCell ref="E2:E3"/>
    <mergeCell ref="F2:F3"/>
    <mergeCell ref="G2:G3"/>
    <mergeCell ref="H2:H3"/>
    <mergeCell ref="I2:I3"/>
    <mergeCell ref="J2:K3"/>
    <mergeCell ref="B10:C10"/>
    <mergeCell ref="B11:C11"/>
    <mergeCell ref="B12:C12"/>
    <mergeCell ref="B13:C13"/>
    <mergeCell ref="B14:C14"/>
    <mergeCell ref="B15:C15"/>
    <mergeCell ref="L2:M3"/>
    <mergeCell ref="N2:O3"/>
    <mergeCell ref="P2:T2"/>
    <mergeCell ref="B22:C22"/>
    <mergeCell ref="B23:C23"/>
    <mergeCell ref="B24:C24"/>
    <mergeCell ref="B25:C25"/>
    <mergeCell ref="B26:C26"/>
    <mergeCell ref="B27:C27"/>
    <mergeCell ref="B16:C16"/>
    <mergeCell ref="B17:C17"/>
    <mergeCell ref="B18:C18"/>
    <mergeCell ref="B19:C19"/>
    <mergeCell ref="B20:C20"/>
    <mergeCell ref="B21:C21"/>
    <mergeCell ref="B3:C3"/>
    <mergeCell ref="B28:C28"/>
    <mergeCell ref="A29:A63"/>
    <mergeCell ref="B29:C29"/>
    <mergeCell ref="B30:C30"/>
    <mergeCell ref="B31:C31"/>
    <mergeCell ref="B32:C32"/>
    <mergeCell ref="B33:C33"/>
    <mergeCell ref="B34:C34"/>
    <mergeCell ref="B35:C35"/>
    <mergeCell ref="B36:C36"/>
    <mergeCell ref="B43:C43"/>
    <mergeCell ref="B44:C44"/>
    <mergeCell ref="B45:C45"/>
    <mergeCell ref="B46:C46"/>
    <mergeCell ref="B47:C47"/>
    <mergeCell ref="B48:C48"/>
    <mergeCell ref="B37:C37"/>
    <mergeCell ref="B38:C38"/>
    <mergeCell ref="B39:C39"/>
    <mergeCell ref="B40:C40"/>
    <mergeCell ref="B41:C41"/>
    <mergeCell ref="B42:C42"/>
    <mergeCell ref="B55:C55"/>
    <mergeCell ref="B56:C56"/>
    <mergeCell ref="B57:C57"/>
    <mergeCell ref="B58:C58"/>
    <mergeCell ref="B59:C59"/>
    <mergeCell ref="B60:C60"/>
    <mergeCell ref="B49:C49"/>
    <mergeCell ref="B50:C50"/>
    <mergeCell ref="B51:C51"/>
    <mergeCell ref="B52:C52"/>
    <mergeCell ref="B53:C53"/>
    <mergeCell ref="B54:C54"/>
    <mergeCell ref="B61:C61"/>
    <mergeCell ref="B62:C62"/>
    <mergeCell ref="B63:C63"/>
    <mergeCell ref="B64:C64"/>
    <mergeCell ref="A65:A121"/>
    <mergeCell ref="B65:C65"/>
    <mergeCell ref="B66:C66"/>
    <mergeCell ref="B67:C67"/>
    <mergeCell ref="B68:C68"/>
    <mergeCell ref="B69:C69"/>
    <mergeCell ref="B76:C76"/>
    <mergeCell ref="B77:C77"/>
    <mergeCell ref="B78:C78"/>
    <mergeCell ref="B79:C79"/>
    <mergeCell ref="B80:C80"/>
    <mergeCell ref="B81:C81"/>
    <mergeCell ref="B70:C70"/>
    <mergeCell ref="B71:C71"/>
    <mergeCell ref="B72:C72"/>
    <mergeCell ref="B73:C73"/>
    <mergeCell ref="B74:C74"/>
    <mergeCell ref="B75:C75"/>
    <mergeCell ref="B88:C88"/>
    <mergeCell ref="B89:C89"/>
    <mergeCell ref="B90:C90"/>
    <mergeCell ref="B91:C91"/>
    <mergeCell ref="B92:C92"/>
    <mergeCell ref="B93:C93"/>
    <mergeCell ref="B82:C82"/>
    <mergeCell ref="B83:C83"/>
    <mergeCell ref="B84:C84"/>
    <mergeCell ref="B85:C85"/>
    <mergeCell ref="B86:C86"/>
    <mergeCell ref="B87:C87"/>
    <mergeCell ref="B100:C100"/>
    <mergeCell ref="B101:C101"/>
    <mergeCell ref="B102:C102"/>
    <mergeCell ref="B103:C103"/>
    <mergeCell ref="B104:C104"/>
    <mergeCell ref="B105:C105"/>
    <mergeCell ref="B94:C94"/>
    <mergeCell ref="B95:C95"/>
    <mergeCell ref="B96:C96"/>
    <mergeCell ref="B97:C97"/>
    <mergeCell ref="B98:C98"/>
    <mergeCell ref="B99:C99"/>
    <mergeCell ref="B112:C112"/>
    <mergeCell ref="B113:C113"/>
    <mergeCell ref="B114:C114"/>
    <mergeCell ref="B115:C115"/>
    <mergeCell ref="B116:C116"/>
    <mergeCell ref="B117:C117"/>
    <mergeCell ref="B106:C106"/>
    <mergeCell ref="B107:C107"/>
    <mergeCell ref="B108:C108"/>
    <mergeCell ref="B109:C109"/>
    <mergeCell ref="B110:C110"/>
    <mergeCell ref="B111:C111"/>
    <mergeCell ref="B118:C118"/>
    <mergeCell ref="B119:C119"/>
    <mergeCell ref="B120:C120"/>
    <mergeCell ref="B121:C121"/>
    <mergeCell ref="B122:C122"/>
    <mergeCell ref="A123:A146"/>
    <mergeCell ref="B123:C123"/>
    <mergeCell ref="B124:C124"/>
    <mergeCell ref="B125:C125"/>
    <mergeCell ref="B126:C126"/>
    <mergeCell ref="B133:C133"/>
    <mergeCell ref="B134:C134"/>
    <mergeCell ref="B135:C135"/>
    <mergeCell ref="B136:C136"/>
    <mergeCell ref="B137:C137"/>
    <mergeCell ref="B138:C138"/>
    <mergeCell ref="B127:C127"/>
    <mergeCell ref="B128:C128"/>
    <mergeCell ref="B129:C129"/>
    <mergeCell ref="B130:C130"/>
    <mergeCell ref="B131:C131"/>
    <mergeCell ref="B132:C132"/>
    <mergeCell ref="B145:C145"/>
    <mergeCell ref="B146:C146"/>
    <mergeCell ref="B147:C147"/>
    <mergeCell ref="B148:C148"/>
    <mergeCell ref="B149:C149"/>
    <mergeCell ref="B150:C150"/>
    <mergeCell ref="B139:C139"/>
    <mergeCell ref="B140:C140"/>
    <mergeCell ref="B141:C141"/>
    <mergeCell ref="B142:C142"/>
    <mergeCell ref="B143:C143"/>
    <mergeCell ref="B144:C144"/>
    <mergeCell ref="B151:C151"/>
    <mergeCell ref="B152:C152"/>
    <mergeCell ref="A153:A184"/>
    <mergeCell ref="B153:C153"/>
    <mergeCell ref="B154:C154"/>
    <mergeCell ref="B155:C155"/>
    <mergeCell ref="B156:C156"/>
    <mergeCell ref="B157:C157"/>
    <mergeCell ref="B158:C158"/>
    <mergeCell ref="B159:C159"/>
    <mergeCell ref="B166:C166"/>
    <mergeCell ref="B167:C167"/>
    <mergeCell ref="B168:C168"/>
    <mergeCell ref="B169:C169"/>
    <mergeCell ref="B170:C170"/>
    <mergeCell ref="B171:C171"/>
    <mergeCell ref="B160:C160"/>
    <mergeCell ref="B161:C161"/>
    <mergeCell ref="B162:C162"/>
    <mergeCell ref="B163:C163"/>
    <mergeCell ref="B164:C164"/>
    <mergeCell ref="B165:C165"/>
    <mergeCell ref="B184:C184"/>
    <mergeCell ref="B185:C185"/>
    <mergeCell ref="B178:C178"/>
    <mergeCell ref="B179:C179"/>
    <mergeCell ref="B180:C180"/>
    <mergeCell ref="B181:C181"/>
    <mergeCell ref="B182:C182"/>
    <mergeCell ref="B183:C183"/>
    <mergeCell ref="B172:C172"/>
    <mergeCell ref="B173:C173"/>
    <mergeCell ref="B174:C174"/>
    <mergeCell ref="B175:C175"/>
    <mergeCell ref="B176:C176"/>
    <mergeCell ref="B177:C177"/>
  </mergeCells>
  <conditionalFormatting sqref="M28 M32 M40 M54 M57 M59 M63:M64 M69 M91 M106 M114 M119 M121:M122 M130 M134 M137 M141 M146:M147 M153 M166 M172 M180 M183:M185">
    <cfRule type="containsText" dxfId="461" priority="458" operator="containsText" text="MUY ALTO">
      <formula>NOT(ISERROR(SEARCH("MUY ALTO",M28)))</formula>
    </cfRule>
    <cfRule type="containsText" dxfId="460" priority="459" operator="containsText" text="ALTO">
      <formula>NOT(ISERROR(SEARCH("ALTO",M28)))</formula>
    </cfRule>
    <cfRule type="containsText" dxfId="459" priority="460" operator="containsText" text="MEDIO">
      <formula>NOT(ISERROR(SEARCH("MEDIO",M28)))</formula>
    </cfRule>
    <cfRule type="containsText" dxfId="458" priority="461" operator="containsText" text="BAJO">
      <formula>NOT(ISERROR(SEARCH("BAJO",M28)))</formula>
    </cfRule>
    <cfRule type="containsText" dxfId="457" priority="462" operator="containsText" text="MUY BAJO">
      <formula>NOT(ISERROR(SEARCH("MUY BAJO",M28)))</formula>
    </cfRule>
  </conditionalFormatting>
  <conditionalFormatting sqref="M11 M17 M21 M23 M27:M28 M32 M40 M54 M57 M59 M63:M64 M69 M91 M106 M114 M119 M121:M122 M130 M134 M137 M141 M146:M147 M153 M166 M172 M180 M183:M185">
    <cfRule type="containsText" dxfId="456" priority="456" operator="containsText" text="BAJO">
      <formula>NOT(ISERROR(SEARCH("BAJO",M11)))</formula>
    </cfRule>
  </conditionalFormatting>
  <conditionalFormatting sqref="M6 M11 M17 M21 M23 M27:M28 M32 M40 M54 M57 M59 M63:M64 M69 M91 M106 M114 M119 M121:M122 M130 M134 M137 M141 M146:M147 M153 M166 M172 M180 M183:M185">
    <cfRule type="containsText" dxfId="455" priority="451" operator="containsText" text="MUY BAJO">
      <formula>NOT(ISERROR(SEARCH("MUY BAJO",M6)))</formula>
    </cfRule>
    <cfRule type="containsText" dxfId="454" priority="452" operator="containsText" text="MUY ALTO">
      <formula>NOT(ISERROR(SEARCH("MUY ALTO",M6)))</formula>
    </cfRule>
    <cfRule type="containsText" dxfId="453" priority="453" operator="containsText" text="ALTO">
      <formula>NOT(ISERROR(SEARCH("ALTO",M6)))</formula>
    </cfRule>
    <cfRule type="containsText" dxfId="452" priority="454" operator="containsText" text="MEDIO">
      <formula>NOT(ISERROR(SEARCH("MEDIO",M6)))</formula>
    </cfRule>
    <cfRule type="containsText" dxfId="451" priority="457" operator="containsText" text="BAJO">
      <formula>NOT(ISERROR(SEARCH("BAJO",M6)))</formula>
    </cfRule>
  </conditionalFormatting>
  <conditionalFormatting sqref="M21 M23 M27:M28 M32 M40 M54 M57 M59 M63:M64 M69 M91 M106 M114 M119 M121:M122 M130 M134 M137 M141 M146:M147 M153 M166 M172 M180 M183:M185">
    <cfRule type="containsText" dxfId="450" priority="455" operator="containsText" text="BAJO">
      <formula>NOT(ISERROR(SEARCH("BAJO",M21)))</formula>
    </cfRule>
  </conditionalFormatting>
  <conditionalFormatting sqref="M119">
    <cfRule type="containsText" dxfId="449" priority="449" operator="containsText" text="MEDIO">
      <formula>NOT(ISERROR(SEARCH("MEDIO",M119)))</formula>
    </cfRule>
    <cfRule type="containsText" dxfId="448" priority="450" operator="containsText" text="BAJO">
      <formula>NOT(ISERROR(SEARCH("BAJO",M119)))</formula>
    </cfRule>
  </conditionalFormatting>
  <conditionalFormatting sqref="O4:O6 O11 O17 O21 O23 O27:O28 O32 O40 O54 O57 O59 O63:O64 O69 O91 O106 O114 O119 O121:O122 O130 O134 O137 O141 O146:O147 O153 O166 O172 O180 O183:O185">
    <cfRule type="containsText" dxfId="447" priority="406" operator="containsText" text="MUY BAJO">
      <formula>NOT(ISERROR(SEARCH("MUY BAJO",O4)))</formula>
    </cfRule>
    <cfRule type="containsText" dxfId="446" priority="407" operator="containsText" text="MUY ALTO">
      <formula>NOT(ISERROR(SEARCH("MUY ALTO",O4)))</formula>
    </cfRule>
    <cfRule type="containsText" dxfId="445" priority="408" operator="containsText" text="ALTO">
      <formula>NOT(ISERROR(SEARCH("ALTO",O4)))</formula>
    </cfRule>
    <cfRule type="containsText" dxfId="444" priority="409" operator="containsText" text="MEDIO">
      <formula>NOT(ISERROR(SEARCH("MEDIO",O4)))</formula>
    </cfRule>
    <cfRule type="containsText" dxfId="443" priority="410" operator="containsText" text="BAJO">
      <formula>NOT(ISERROR(SEARCH("BAJO",O4)))</formula>
    </cfRule>
  </conditionalFormatting>
  <conditionalFormatting sqref="M4:M6 M11 M17 M21 M23 M27:M28 M32 M40 M54 M57 M59 M63:M64 M69 M91 M106 M114 M119 M121:M122 M130 M134 M137 M141 M146:M147 M153 M166 M172 M180 M183:M185">
    <cfRule type="containsText" dxfId="442" priority="444" operator="containsText" text="MUY BAJO">
      <formula>NOT(ISERROR(SEARCH("MUY BAJO",M4)))</formula>
    </cfRule>
    <cfRule type="containsText" dxfId="441" priority="445" operator="containsText" text="MUY ALTO">
      <formula>NOT(ISERROR(SEARCH("MUY ALTO",M4)))</formula>
    </cfRule>
    <cfRule type="containsText" dxfId="440" priority="446" operator="containsText" text="ALTO">
      <formula>NOT(ISERROR(SEARCH("ALTO",M4)))</formula>
    </cfRule>
    <cfRule type="containsText" dxfId="439" priority="447" operator="containsText" text="MEDIO">
      <formula>NOT(ISERROR(SEARCH("MEDIO",M4)))</formula>
    </cfRule>
    <cfRule type="containsText" dxfId="438" priority="448" operator="containsText" text="BAJO">
      <formula>NOT(ISERROR(SEARCH("BAJO",M4)))</formula>
    </cfRule>
  </conditionalFormatting>
  <conditionalFormatting sqref="K28 K32 K40 K54 K57 K59 K63:K64 K69 K91 K106 K114 K119 K121:K122 K130 K134 K137 K141 K146:K147 K153 K166 K172 K180 K183:K185">
    <cfRule type="containsText" dxfId="437" priority="439" operator="containsText" text="MUY ALTO">
      <formula>NOT(ISERROR(SEARCH("MUY ALTO",K28)))</formula>
    </cfRule>
    <cfRule type="containsText" dxfId="436" priority="440" operator="containsText" text="ALTO">
      <formula>NOT(ISERROR(SEARCH("ALTO",K28)))</formula>
    </cfRule>
    <cfRule type="containsText" dxfId="435" priority="441" operator="containsText" text="MEDIO">
      <formula>NOT(ISERROR(SEARCH("MEDIO",K28)))</formula>
    </cfRule>
    <cfRule type="containsText" dxfId="434" priority="442" operator="containsText" text="BAJO">
      <formula>NOT(ISERROR(SEARCH("BAJO",K28)))</formula>
    </cfRule>
    <cfRule type="containsText" dxfId="433" priority="443" operator="containsText" text="MUY BAJO">
      <formula>NOT(ISERROR(SEARCH("MUY BAJO",K28)))</formula>
    </cfRule>
  </conditionalFormatting>
  <conditionalFormatting sqref="K11 K17 K21 K23 K27:K28 K32 K40 K54 K57 K59 K63:K64 K69 K91 K106 K114 K119 K121:K122 K130 K134 K137 K141 K146:K147 K153 K166 K172 K180 K183:K185">
    <cfRule type="containsText" dxfId="432" priority="437" operator="containsText" text="BAJO">
      <formula>NOT(ISERROR(SEARCH("BAJO",K11)))</formula>
    </cfRule>
  </conditionalFormatting>
  <conditionalFormatting sqref="K6 K11 K17 K21 K23 K27:K28 K32 K40 K54 K57 K59 K63:K64 K69 K91 K106 K114 K119 K121:K122 K130 K134 K137 K141 K146:K147 K153 K166 K172 K180 K183:K185">
    <cfRule type="containsText" dxfId="431" priority="432" operator="containsText" text="MUY BAJO">
      <formula>NOT(ISERROR(SEARCH("MUY BAJO",K6)))</formula>
    </cfRule>
    <cfRule type="containsText" dxfId="430" priority="433" operator="containsText" text="MUY ALTO">
      <formula>NOT(ISERROR(SEARCH("MUY ALTO",K6)))</formula>
    </cfRule>
    <cfRule type="containsText" dxfId="429" priority="434" operator="containsText" text="ALTO">
      <formula>NOT(ISERROR(SEARCH("ALTO",K6)))</formula>
    </cfRule>
    <cfRule type="containsText" dxfId="428" priority="435" operator="containsText" text="MEDIO">
      <formula>NOT(ISERROR(SEARCH("MEDIO",K6)))</formula>
    </cfRule>
    <cfRule type="containsText" dxfId="427" priority="438" operator="containsText" text="BAJO">
      <formula>NOT(ISERROR(SEARCH("BAJO",K6)))</formula>
    </cfRule>
  </conditionalFormatting>
  <conditionalFormatting sqref="K21 K23 K27:K28 K32 K40 K54 K57 K59 K63:K64 K69 K91 K106 K114 K119 K121:K122 K130 K134 K137 K141 K146:K147 K153 K166 K172 K180 K183:K185">
    <cfRule type="containsText" dxfId="426" priority="436" operator="containsText" text="BAJO">
      <formula>NOT(ISERROR(SEARCH("BAJO",K21)))</formula>
    </cfRule>
  </conditionalFormatting>
  <conditionalFormatting sqref="K119">
    <cfRule type="containsText" dxfId="425" priority="430" operator="containsText" text="MEDIO">
      <formula>NOT(ISERROR(SEARCH("MEDIO",K119)))</formula>
    </cfRule>
    <cfRule type="containsText" dxfId="424" priority="431" operator="containsText" text="BAJO">
      <formula>NOT(ISERROR(SEARCH("BAJO",K119)))</formula>
    </cfRule>
  </conditionalFormatting>
  <conditionalFormatting sqref="K4:K6 K11 K17 K21 K23 K27:K28 K32 K40 K54 K57 K59 K63:K64 K69 K91 K106 K114 K119 K121:K122 K130 K134 K137 K141 K146:K147 K153 K166 K172 K180 K183:K185">
    <cfRule type="containsText" dxfId="423" priority="425" operator="containsText" text="MUY BAJO">
      <formula>NOT(ISERROR(SEARCH("MUY BAJO",K4)))</formula>
    </cfRule>
    <cfRule type="containsText" dxfId="422" priority="426" operator="containsText" text="MUY ALTO">
      <formula>NOT(ISERROR(SEARCH("MUY ALTO",K4)))</formula>
    </cfRule>
    <cfRule type="containsText" dxfId="421" priority="427" operator="containsText" text="ALTO">
      <formula>NOT(ISERROR(SEARCH("ALTO",K4)))</formula>
    </cfRule>
    <cfRule type="containsText" dxfId="420" priority="428" operator="containsText" text="MEDIO">
      <formula>NOT(ISERROR(SEARCH("MEDIO",K4)))</formula>
    </cfRule>
    <cfRule type="containsText" dxfId="419" priority="429" operator="containsText" text="BAJO">
      <formula>NOT(ISERROR(SEARCH("BAJO",K4)))</formula>
    </cfRule>
  </conditionalFormatting>
  <conditionalFormatting sqref="O28 O32 O40 O54 O57 O59 O63:O64 O69 O91 O106 O114 O119 O121:O122 O130 O134 O137 O141 O146:O147 O153 O166 O172 O180 O183:O185">
    <cfRule type="containsText" dxfId="418" priority="420" operator="containsText" text="MUY ALTO">
      <formula>NOT(ISERROR(SEARCH("MUY ALTO",O28)))</formula>
    </cfRule>
    <cfRule type="containsText" dxfId="417" priority="421" operator="containsText" text="ALTO">
      <formula>NOT(ISERROR(SEARCH("ALTO",O28)))</formula>
    </cfRule>
    <cfRule type="containsText" dxfId="416" priority="422" operator="containsText" text="MEDIO">
      <formula>NOT(ISERROR(SEARCH("MEDIO",O28)))</formula>
    </cfRule>
    <cfRule type="containsText" dxfId="415" priority="423" operator="containsText" text="BAJO">
      <formula>NOT(ISERROR(SEARCH("BAJO",O28)))</formula>
    </cfRule>
    <cfRule type="containsText" dxfId="414" priority="424" operator="containsText" text="MUY BAJO">
      <formula>NOT(ISERROR(SEARCH("MUY BAJO",O28)))</formula>
    </cfRule>
  </conditionalFormatting>
  <conditionalFormatting sqref="O11 O17 O21 O23 O27:O28 O32 O40 O54 O57 O59 O63:O64 O69 O91 O106 O114 O119 O121:O122 O130 O134 O137 O141 O146:O147 O153 O166 O172 O180 O183:O185">
    <cfRule type="containsText" dxfId="413" priority="418" operator="containsText" text="BAJO">
      <formula>NOT(ISERROR(SEARCH("BAJO",O11)))</formula>
    </cfRule>
  </conditionalFormatting>
  <conditionalFormatting sqref="O6 O11 O17 O21 O23 O27:O28 O32 O40 O54 O57 O59 O63:O64 O69 O91 O106 O114 O119 O121:O122 O130 O134 O137 O141 O146:O147 O153 O166 O172 O180 O183:O185">
    <cfRule type="containsText" dxfId="412" priority="413" operator="containsText" text="MUY BAJO">
      <formula>NOT(ISERROR(SEARCH("MUY BAJO",O6)))</formula>
    </cfRule>
    <cfRule type="containsText" dxfId="411" priority="414" operator="containsText" text="MUY ALTO">
      <formula>NOT(ISERROR(SEARCH("MUY ALTO",O6)))</formula>
    </cfRule>
    <cfRule type="containsText" dxfId="410" priority="415" operator="containsText" text="ALTO">
      <formula>NOT(ISERROR(SEARCH("ALTO",O6)))</formula>
    </cfRule>
    <cfRule type="containsText" dxfId="409" priority="416" operator="containsText" text="MEDIO">
      <formula>NOT(ISERROR(SEARCH("MEDIO",O6)))</formula>
    </cfRule>
    <cfRule type="containsText" dxfId="408" priority="419" operator="containsText" text="BAJO">
      <formula>NOT(ISERROR(SEARCH("BAJO",O6)))</formula>
    </cfRule>
  </conditionalFormatting>
  <conditionalFormatting sqref="O21 O23 O27:O28 O32 O40 O54 O57 O59 O63:O64 O69 O91 O106 O114 O119 O121:O122 O130 O134 O137 O141 O146:O147 O153 O166 O172 O180 O183:O185">
    <cfRule type="containsText" dxfId="407" priority="417" operator="containsText" text="BAJO">
      <formula>NOT(ISERROR(SEARCH("BAJO",O21)))</formula>
    </cfRule>
  </conditionalFormatting>
  <conditionalFormatting sqref="O119">
    <cfRule type="containsText" dxfId="406" priority="411" operator="containsText" text="MEDIO">
      <formula>NOT(ISERROR(SEARCH("MEDIO",O119)))</formula>
    </cfRule>
    <cfRule type="containsText" dxfId="405" priority="412" operator="containsText" text="BAJO">
      <formula>NOT(ISERROR(SEARCH("BAJO",O119)))</formula>
    </cfRule>
  </conditionalFormatting>
  <conditionalFormatting sqref="O7:O10">
    <cfRule type="containsText" dxfId="404" priority="391" operator="containsText" text="MUY BAJO">
      <formula>NOT(ISERROR(SEARCH("MUY BAJO",O7)))</formula>
    </cfRule>
    <cfRule type="containsText" dxfId="403" priority="392" operator="containsText" text="MUY ALTO">
      <formula>NOT(ISERROR(SEARCH("MUY ALTO",O7)))</formula>
    </cfRule>
    <cfRule type="containsText" dxfId="402" priority="393" operator="containsText" text="ALTO">
      <formula>NOT(ISERROR(SEARCH("ALTO",O7)))</formula>
    </cfRule>
    <cfRule type="containsText" dxfId="401" priority="394" operator="containsText" text="MEDIO">
      <formula>NOT(ISERROR(SEARCH("MEDIO",O7)))</formula>
    </cfRule>
    <cfRule type="containsText" dxfId="400" priority="395" operator="containsText" text="BAJO">
      <formula>NOT(ISERROR(SEARCH("BAJO",O7)))</formula>
    </cfRule>
  </conditionalFormatting>
  <conditionalFormatting sqref="M7:M10">
    <cfRule type="containsText" dxfId="399" priority="401" operator="containsText" text="MUY BAJO">
      <formula>NOT(ISERROR(SEARCH("MUY BAJO",M7)))</formula>
    </cfRule>
    <cfRule type="containsText" dxfId="398" priority="402" operator="containsText" text="MUY ALTO">
      <formula>NOT(ISERROR(SEARCH("MUY ALTO",M7)))</formula>
    </cfRule>
    <cfRule type="containsText" dxfId="397" priority="403" operator="containsText" text="ALTO">
      <formula>NOT(ISERROR(SEARCH("ALTO",M7)))</formula>
    </cfRule>
    <cfRule type="containsText" dxfId="396" priority="404" operator="containsText" text="MEDIO">
      <formula>NOT(ISERROR(SEARCH("MEDIO",M7)))</formula>
    </cfRule>
    <cfRule type="containsText" dxfId="395" priority="405" operator="containsText" text="BAJO">
      <formula>NOT(ISERROR(SEARCH("BAJO",M7)))</formula>
    </cfRule>
  </conditionalFormatting>
  <conditionalFormatting sqref="K7:K10">
    <cfRule type="containsText" dxfId="394" priority="396" operator="containsText" text="MUY BAJO">
      <formula>NOT(ISERROR(SEARCH("MUY BAJO",K7)))</formula>
    </cfRule>
    <cfRule type="containsText" dxfId="393" priority="397" operator="containsText" text="MUY ALTO">
      <formula>NOT(ISERROR(SEARCH("MUY ALTO",K7)))</formula>
    </cfRule>
    <cfRule type="containsText" dxfId="392" priority="398" operator="containsText" text="ALTO">
      <formula>NOT(ISERROR(SEARCH("ALTO",K7)))</formula>
    </cfRule>
    <cfRule type="containsText" dxfId="391" priority="399" operator="containsText" text="MEDIO">
      <formula>NOT(ISERROR(SEARCH("MEDIO",K7)))</formula>
    </cfRule>
    <cfRule type="containsText" dxfId="390" priority="400" operator="containsText" text="BAJO">
      <formula>NOT(ISERROR(SEARCH("BAJO",K7)))</formula>
    </cfRule>
  </conditionalFormatting>
  <conditionalFormatting sqref="O12:O16">
    <cfRule type="containsText" dxfId="389" priority="376" operator="containsText" text="MUY BAJO">
      <formula>NOT(ISERROR(SEARCH("MUY BAJO",O12)))</formula>
    </cfRule>
    <cfRule type="containsText" dxfId="388" priority="377" operator="containsText" text="MUY ALTO">
      <formula>NOT(ISERROR(SEARCH("MUY ALTO",O12)))</formula>
    </cfRule>
    <cfRule type="containsText" dxfId="387" priority="378" operator="containsText" text="ALTO">
      <formula>NOT(ISERROR(SEARCH("ALTO",O12)))</formula>
    </cfRule>
    <cfRule type="containsText" dxfId="386" priority="379" operator="containsText" text="MEDIO">
      <formula>NOT(ISERROR(SEARCH("MEDIO",O12)))</formula>
    </cfRule>
    <cfRule type="containsText" dxfId="385" priority="380" operator="containsText" text="BAJO">
      <formula>NOT(ISERROR(SEARCH("BAJO",O12)))</formula>
    </cfRule>
  </conditionalFormatting>
  <conditionalFormatting sqref="M12:M16">
    <cfRule type="containsText" dxfId="384" priority="386" operator="containsText" text="MUY BAJO">
      <formula>NOT(ISERROR(SEARCH("MUY BAJO",M12)))</formula>
    </cfRule>
    <cfRule type="containsText" dxfId="383" priority="387" operator="containsText" text="MUY ALTO">
      <formula>NOT(ISERROR(SEARCH("MUY ALTO",M12)))</formula>
    </cfRule>
    <cfRule type="containsText" dxfId="382" priority="388" operator="containsText" text="ALTO">
      <formula>NOT(ISERROR(SEARCH("ALTO",M12)))</formula>
    </cfRule>
    <cfRule type="containsText" dxfId="381" priority="389" operator="containsText" text="MEDIO">
      <formula>NOT(ISERROR(SEARCH("MEDIO",M12)))</formula>
    </cfRule>
    <cfRule type="containsText" dxfId="380" priority="390" operator="containsText" text="BAJO">
      <formula>NOT(ISERROR(SEARCH("BAJO",M12)))</formula>
    </cfRule>
  </conditionalFormatting>
  <conditionalFormatting sqref="K12:K16">
    <cfRule type="containsText" dxfId="379" priority="381" operator="containsText" text="MUY BAJO">
      <formula>NOT(ISERROR(SEARCH("MUY BAJO",K12)))</formula>
    </cfRule>
    <cfRule type="containsText" dxfId="378" priority="382" operator="containsText" text="MUY ALTO">
      <formula>NOT(ISERROR(SEARCH("MUY ALTO",K12)))</formula>
    </cfRule>
    <cfRule type="containsText" dxfId="377" priority="383" operator="containsText" text="ALTO">
      <formula>NOT(ISERROR(SEARCH("ALTO",K12)))</formula>
    </cfRule>
    <cfRule type="containsText" dxfId="376" priority="384" operator="containsText" text="MEDIO">
      <formula>NOT(ISERROR(SEARCH("MEDIO",K12)))</formula>
    </cfRule>
    <cfRule type="containsText" dxfId="375" priority="385" operator="containsText" text="BAJO">
      <formula>NOT(ISERROR(SEARCH("BAJO",K12)))</formula>
    </cfRule>
  </conditionalFormatting>
  <conditionalFormatting sqref="O18:O20">
    <cfRule type="containsText" dxfId="374" priority="361" operator="containsText" text="MUY BAJO">
      <formula>NOT(ISERROR(SEARCH("MUY BAJO",O18)))</formula>
    </cfRule>
    <cfRule type="containsText" dxfId="373" priority="362" operator="containsText" text="MUY ALTO">
      <formula>NOT(ISERROR(SEARCH("MUY ALTO",O18)))</formula>
    </cfRule>
    <cfRule type="containsText" dxfId="372" priority="363" operator="containsText" text="ALTO">
      <formula>NOT(ISERROR(SEARCH("ALTO",O18)))</formula>
    </cfRule>
    <cfRule type="containsText" dxfId="371" priority="364" operator="containsText" text="MEDIO">
      <formula>NOT(ISERROR(SEARCH("MEDIO",O18)))</formula>
    </cfRule>
    <cfRule type="containsText" dxfId="370" priority="365" operator="containsText" text="BAJO">
      <formula>NOT(ISERROR(SEARCH("BAJO",O18)))</formula>
    </cfRule>
  </conditionalFormatting>
  <conditionalFormatting sqref="M18:M20">
    <cfRule type="containsText" dxfId="369" priority="371" operator="containsText" text="MUY BAJO">
      <formula>NOT(ISERROR(SEARCH("MUY BAJO",M18)))</formula>
    </cfRule>
    <cfRule type="containsText" dxfId="368" priority="372" operator="containsText" text="MUY ALTO">
      <formula>NOT(ISERROR(SEARCH("MUY ALTO",M18)))</formula>
    </cfRule>
    <cfRule type="containsText" dxfId="367" priority="373" operator="containsText" text="ALTO">
      <formula>NOT(ISERROR(SEARCH("ALTO",M18)))</formula>
    </cfRule>
    <cfRule type="containsText" dxfId="366" priority="374" operator="containsText" text="MEDIO">
      <formula>NOT(ISERROR(SEARCH("MEDIO",M18)))</formula>
    </cfRule>
    <cfRule type="containsText" dxfId="365" priority="375" operator="containsText" text="BAJO">
      <formula>NOT(ISERROR(SEARCH("BAJO",M18)))</formula>
    </cfRule>
  </conditionalFormatting>
  <conditionalFormatting sqref="K18:K20">
    <cfRule type="containsText" dxfId="364" priority="366" operator="containsText" text="MUY BAJO">
      <formula>NOT(ISERROR(SEARCH("MUY BAJO",K18)))</formula>
    </cfRule>
    <cfRule type="containsText" dxfId="363" priority="367" operator="containsText" text="MUY ALTO">
      <formula>NOT(ISERROR(SEARCH("MUY ALTO",K18)))</formula>
    </cfRule>
    <cfRule type="containsText" dxfId="362" priority="368" operator="containsText" text="ALTO">
      <formula>NOT(ISERROR(SEARCH("ALTO",K18)))</formula>
    </cfRule>
    <cfRule type="containsText" dxfId="361" priority="369" operator="containsText" text="MEDIO">
      <formula>NOT(ISERROR(SEARCH("MEDIO",K18)))</formula>
    </cfRule>
    <cfRule type="containsText" dxfId="360" priority="370" operator="containsText" text="BAJO">
      <formula>NOT(ISERROR(SEARCH("BAJO",K18)))</formula>
    </cfRule>
  </conditionalFormatting>
  <conditionalFormatting sqref="O22">
    <cfRule type="containsText" dxfId="359" priority="346" operator="containsText" text="MUY BAJO">
      <formula>NOT(ISERROR(SEARCH("MUY BAJO",O22)))</formula>
    </cfRule>
    <cfRule type="containsText" dxfId="358" priority="347" operator="containsText" text="MUY ALTO">
      <formula>NOT(ISERROR(SEARCH("MUY ALTO",O22)))</formula>
    </cfRule>
    <cfRule type="containsText" dxfId="357" priority="348" operator="containsText" text="ALTO">
      <formula>NOT(ISERROR(SEARCH("ALTO",O22)))</formula>
    </cfRule>
    <cfRule type="containsText" dxfId="356" priority="349" operator="containsText" text="MEDIO">
      <formula>NOT(ISERROR(SEARCH("MEDIO",O22)))</formula>
    </cfRule>
    <cfRule type="containsText" dxfId="355" priority="350" operator="containsText" text="BAJO">
      <formula>NOT(ISERROR(SEARCH("BAJO",O22)))</formula>
    </cfRule>
  </conditionalFormatting>
  <conditionalFormatting sqref="M22">
    <cfRule type="containsText" dxfId="354" priority="356" operator="containsText" text="MUY BAJO">
      <formula>NOT(ISERROR(SEARCH("MUY BAJO",M22)))</formula>
    </cfRule>
    <cfRule type="containsText" dxfId="353" priority="357" operator="containsText" text="MUY ALTO">
      <formula>NOT(ISERROR(SEARCH("MUY ALTO",M22)))</formula>
    </cfRule>
    <cfRule type="containsText" dxfId="352" priority="358" operator="containsText" text="ALTO">
      <formula>NOT(ISERROR(SEARCH("ALTO",M22)))</formula>
    </cfRule>
    <cfRule type="containsText" dxfId="351" priority="359" operator="containsText" text="MEDIO">
      <formula>NOT(ISERROR(SEARCH("MEDIO",M22)))</formula>
    </cfRule>
    <cfRule type="containsText" dxfId="350" priority="360" operator="containsText" text="BAJO">
      <formula>NOT(ISERROR(SEARCH("BAJO",M22)))</formula>
    </cfRule>
  </conditionalFormatting>
  <conditionalFormatting sqref="K22">
    <cfRule type="containsText" dxfId="349" priority="351" operator="containsText" text="MUY BAJO">
      <formula>NOT(ISERROR(SEARCH("MUY BAJO",K22)))</formula>
    </cfRule>
    <cfRule type="containsText" dxfId="348" priority="352" operator="containsText" text="MUY ALTO">
      <formula>NOT(ISERROR(SEARCH("MUY ALTO",K22)))</formula>
    </cfRule>
    <cfRule type="containsText" dxfId="347" priority="353" operator="containsText" text="ALTO">
      <formula>NOT(ISERROR(SEARCH("ALTO",K22)))</formula>
    </cfRule>
    <cfRule type="containsText" dxfId="346" priority="354" operator="containsText" text="MEDIO">
      <formula>NOT(ISERROR(SEARCH("MEDIO",K22)))</formula>
    </cfRule>
    <cfRule type="containsText" dxfId="345" priority="355" operator="containsText" text="BAJO">
      <formula>NOT(ISERROR(SEARCH("BAJO",K22)))</formula>
    </cfRule>
  </conditionalFormatting>
  <conditionalFormatting sqref="O24:O26">
    <cfRule type="containsText" dxfId="344" priority="331" operator="containsText" text="MUY BAJO">
      <formula>NOT(ISERROR(SEARCH("MUY BAJO",O24)))</formula>
    </cfRule>
    <cfRule type="containsText" dxfId="343" priority="332" operator="containsText" text="MUY ALTO">
      <formula>NOT(ISERROR(SEARCH("MUY ALTO",O24)))</formula>
    </cfRule>
    <cfRule type="containsText" dxfId="342" priority="333" operator="containsText" text="ALTO">
      <formula>NOT(ISERROR(SEARCH("ALTO",O24)))</formula>
    </cfRule>
    <cfRule type="containsText" dxfId="341" priority="334" operator="containsText" text="MEDIO">
      <formula>NOT(ISERROR(SEARCH("MEDIO",O24)))</formula>
    </cfRule>
    <cfRule type="containsText" dxfId="340" priority="335" operator="containsText" text="BAJO">
      <formula>NOT(ISERROR(SEARCH("BAJO",O24)))</formula>
    </cfRule>
  </conditionalFormatting>
  <conditionalFormatting sqref="M24:M26">
    <cfRule type="containsText" dxfId="339" priority="341" operator="containsText" text="MUY BAJO">
      <formula>NOT(ISERROR(SEARCH("MUY BAJO",M24)))</formula>
    </cfRule>
    <cfRule type="containsText" dxfId="338" priority="342" operator="containsText" text="MUY ALTO">
      <formula>NOT(ISERROR(SEARCH("MUY ALTO",M24)))</formula>
    </cfRule>
    <cfRule type="containsText" dxfId="337" priority="343" operator="containsText" text="ALTO">
      <formula>NOT(ISERROR(SEARCH("ALTO",M24)))</formula>
    </cfRule>
    <cfRule type="containsText" dxfId="336" priority="344" operator="containsText" text="MEDIO">
      <formula>NOT(ISERROR(SEARCH("MEDIO",M24)))</formula>
    </cfRule>
    <cfRule type="containsText" dxfId="335" priority="345" operator="containsText" text="BAJO">
      <formula>NOT(ISERROR(SEARCH("BAJO",M24)))</formula>
    </cfRule>
  </conditionalFormatting>
  <conditionalFormatting sqref="K24:K26">
    <cfRule type="containsText" dxfId="334" priority="336" operator="containsText" text="MUY BAJO">
      <formula>NOT(ISERROR(SEARCH("MUY BAJO",K24)))</formula>
    </cfRule>
    <cfRule type="containsText" dxfId="333" priority="337" operator="containsText" text="MUY ALTO">
      <formula>NOT(ISERROR(SEARCH("MUY ALTO",K24)))</formula>
    </cfRule>
    <cfRule type="containsText" dxfId="332" priority="338" operator="containsText" text="ALTO">
      <formula>NOT(ISERROR(SEARCH("ALTO",K24)))</formula>
    </cfRule>
    <cfRule type="containsText" dxfId="331" priority="339" operator="containsText" text="MEDIO">
      <formula>NOT(ISERROR(SEARCH("MEDIO",K24)))</formula>
    </cfRule>
    <cfRule type="containsText" dxfId="330" priority="340" operator="containsText" text="BAJO">
      <formula>NOT(ISERROR(SEARCH("BAJO",K24)))</formula>
    </cfRule>
  </conditionalFormatting>
  <conditionalFormatting sqref="O29:O31">
    <cfRule type="containsText" dxfId="329" priority="316" operator="containsText" text="MUY BAJO">
      <formula>NOT(ISERROR(SEARCH("MUY BAJO",O29)))</formula>
    </cfRule>
    <cfRule type="containsText" dxfId="328" priority="317" operator="containsText" text="MUY ALTO">
      <formula>NOT(ISERROR(SEARCH("MUY ALTO",O29)))</formula>
    </cfRule>
    <cfRule type="containsText" dxfId="327" priority="318" operator="containsText" text="ALTO">
      <formula>NOT(ISERROR(SEARCH("ALTO",O29)))</formula>
    </cfRule>
    <cfRule type="containsText" dxfId="326" priority="319" operator="containsText" text="MEDIO">
      <formula>NOT(ISERROR(SEARCH("MEDIO",O29)))</formula>
    </cfRule>
    <cfRule type="containsText" dxfId="325" priority="320" operator="containsText" text="BAJO">
      <formula>NOT(ISERROR(SEARCH("BAJO",O29)))</formula>
    </cfRule>
  </conditionalFormatting>
  <conditionalFormatting sqref="M29:M31">
    <cfRule type="containsText" dxfId="324" priority="326" operator="containsText" text="MUY BAJO">
      <formula>NOT(ISERROR(SEARCH("MUY BAJO",M29)))</formula>
    </cfRule>
    <cfRule type="containsText" dxfId="323" priority="327" operator="containsText" text="MUY ALTO">
      <formula>NOT(ISERROR(SEARCH("MUY ALTO",M29)))</formula>
    </cfRule>
    <cfRule type="containsText" dxfId="322" priority="328" operator="containsText" text="ALTO">
      <formula>NOT(ISERROR(SEARCH("ALTO",M29)))</formula>
    </cfRule>
    <cfRule type="containsText" dxfId="321" priority="329" operator="containsText" text="MEDIO">
      <formula>NOT(ISERROR(SEARCH("MEDIO",M29)))</formula>
    </cfRule>
    <cfRule type="containsText" dxfId="320" priority="330" operator="containsText" text="BAJO">
      <formula>NOT(ISERROR(SEARCH("BAJO",M29)))</formula>
    </cfRule>
  </conditionalFormatting>
  <conditionalFormatting sqref="K29:K31">
    <cfRule type="containsText" dxfId="319" priority="321" operator="containsText" text="MUY BAJO">
      <formula>NOT(ISERROR(SEARCH("MUY BAJO",K29)))</formula>
    </cfRule>
    <cfRule type="containsText" dxfId="318" priority="322" operator="containsText" text="MUY ALTO">
      <formula>NOT(ISERROR(SEARCH("MUY ALTO",K29)))</formula>
    </cfRule>
    <cfRule type="containsText" dxfId="317" priority="323" operator="containsText" text="ALTO">
      <formula>NOT(ISERROR(SEARCH("ALTO",K29)))</formula>
    </cfRule>
    <cfRule type="containsText" dxfId="316" priority="324" operator="containsText" text="MEDIO">
      <formula>NOT(ISERROR(SEARCH("MEDIO",K29)))</formula>
    </cfRule>
    <cfRule type="containsText" dxfId="315" priority="325" operator="containsText" text="BAJO">
      <formula>NOT(ISERROR(SEARCH("BAJO",K29)))</formula>
    </cfRule>
  </conditionalFormatting>
  <conditionalFormatting sqref="O33:O39">
    <cfRule type="containsText" dxfId="314" priority="301" operator="containsText" text="MUY BAJO">
      <formula>NOT(ISERROR(SEARCH("MUY BAJO",O33)))</formula>
    </cfRule>
    <cfRule type="containsText" dxfId="313" priority="302" operator="containsText" text="MUY ALTO">
      <formula>NOT(ISERROR(SEARCH("MUY ALTO",O33)))</formula>
    </cfRule>
    <cfRule type="containsText" dxfId="312" priority="303" operator="containsText" text="ALTO">
      <formula>NOT(ISERROR(SEARCH("ALTO",O33)))</formula>
    </cfRule>
    <cfRule type="containsText" dxfId="311" priority="304" operator="containsText" text="MEDIO">
      <formula>NOT(ISERROR(SEARCH("MEDIO",O33)))</formula>
    </cfRule>
    <cfRule type="containsText" dxfId="310" priority="305" operator="containsText" text="BAJO">
      <formula>NOT(ISERROR(SEARCH("BAJO",O33)))</formula>
    </cfRule>
  </conditionalFormatting>
  <conditionalFormatting sqref="M33:M39">
    <cfRule type="containsText" dxfId="309" priority="311" operator="containsText" text="MUY BAJO">
      <formula>NOT(ISERROR(SEARCH("MUY BAJO",M33)))</formula>
    </cfRule>
    <cfRule type="containsText" dxfId="308" priority="312" operator="containsText" text="MUY ALTO">
      <formula>NOT(ISERROR(SEARCH("MUY ALTO",M33)))</formula>
    </cfRule>
    <cfRule type="containsText" dxfId="307" priority="313" operator="containsText" text="ALTO">
      <formula>NOT(ISERROR(SEARCH("ALTO",M33)))</formula>
    </cfRule>
    <cfRule type="containsText" dxfId="306" priority="314" operator="containsText" text="MEDIO">
      <formula>NOT(ISERROR(SEARCH("MEDIO",M33)))</formula>
    </cfRule>
    <cfRule type="containsText" dxfId="305" priority="315" operator="containsText" text="BAJO">
      <formula>NOT(ISERROR(SEARCH("BAJO",M33)))</formula>
    </cfRule>
  </conditionalFormatting>
  <conditionalFormatting sqref="K33:K39">
    <cfRule type="containsText" dxfId="304" priority="306" operator="containsText" text="MUY BAJO">
      <formula>NOT(ISERROR(SEARCH("MUY BAJO",K33)))</formula>
    </cfRule>
    <cfRule type="containsText" dxfId="303" priority="307" operator="containsText" text="MUY ALTO">
      <formula>NOT(ISERROR(SEARCH("MUY ALTO",K33)))</formula>
    </cfRule>
    <cfRule type="containsText" dxfId="302" priority="308" operator="containsText" text="ALTO">
      <formula>NOT(ISERROR(SEARCH("ALTO",K33)))</formula>
    </cfRule>
    <cfRule type="containsText" dxfId="301" priority="309" operator="containsText" text="MEDIO">
      <formula>NOT(ISERROR(SEARCH("MEDIO",K33)))</formula>
    </cfRule>
    <cfRule type="containsText" dxfId="300" priority="310" operator="containsText" text="BAJO">
      <formula>NOT(ISERROR(SEARCH("BAJO",K33)))</formula>
    </cfRule>
  </conditionalFormatting>
  <conditionalFormatting sqref="O41:O53">
    <cfRule type="containsText" dxfId="299" priority="286" operator="containsText" text="MUY BAJO">
      <formula>NOT(ISERROR(SEARCH("MUY BAJO",O41)))</formula>
    </cfRule>
    <cfRule type="containsText" dxfId="298" priority="287" operator="containsText" text="MUY ALTO">
      <formula>NOT(ISERROR(SEARCH("MUY ALTO",O41)))</formula>
    </cfRule>
    <cfRule type="containsText" dxfId="297" priority="288" operator="containsText" text="ALTO">
      <formula>NOT(ISERROR(SEARCH("ALTO",O41)))</formula>
    </cfRule>
    <cfRule type="containsText" dxfId="296" priority="289" operator="containsText" text="MEDIO">
      <formula>NOT(ISERROR(SEARCH("MEDIO",O41)))</formula>
    </cfRule>
    <cfRule type="containsText" dxfId="295" priority="290" operator="containsText" text="BAJO">
      <formula>NOT(ISERROR(SEARCH("BAJO",O41)))</formula>
    </cfRule>
  </conditionalFormatting>
  <conditionalFormatting sqref="M41:M53">
    <cfRule type="containsText" dxfId="294" priority="296" operator="containsText" text="MUY BAJO">
      <formula>NOT(ISERROR(SEARCH("MUY BAJO",M41)))</formula>
    </cfRule>
    <cfRule type="containsText" dxfId="293" priority="297" operator="containsText" text="MUY ALTO">
      <formula>NOT(ISERROR(SEARCH("MUY ALTO",M41)))</formula>
    </cfRule>
    <cfRule type="containsText" dxfId="292" priority="298" operator="containsText" text="ALTO">
      <formula>NOT(ISERROR(SEARCH("ALTO",M41)))</formula>
    </cfRule>
    <cfRule type="containsText" dxfId="291" priority="299" operator="containsText" text="MEDIO">
      <formula>NOT(ISERROR(SEARCH("MEDIO",M41)))</formula>
    </cfRule>
    <cfRule type="containsText" dxfId="290" priority="300" operator="containsText" text="BAJO">
      <formula>NOT(ISERROR(SEARCH("BAJO",M41)))</formula>
    </cfRule>
  </conditionalFormatting>
  <conditionalFormatting sqref="K41:K53">
    <cfRule type="containsText" dxfId="289" priority="291" operator="containsText" text="MUY BAJO">
      <formula>NOT(ISERROR(SEARCH("MUY BAJO",K41)))</formula>
    </cfRule>
    <cfRule type="containsText" dxfId="288" priority="292" operator="containsText" text="MUY ALTO">
      <formula>NOT(ISERROR(SEARCH("MUY ALTO",K41)))</formula>
    </cfRule>
    <cfRule type="containsText" dxfId="287" priority="293" operator="containsText" text="ALTO">
      <formula>NOT(ISERROR(SEARCH("ALTO",K41)))</formula>
    </cfRule>
    <cfRule type="containsText" dxfId="286" priority="294" operator="containsText" text="MEDIO">
      <formula>NOT(ISERROR(SEARCH("MEDIO",K41)))</formula>
    </cfRule>
    <cfRule type="containsText" dxfId="285" priority="295" operator="containsText" text="BAJO">
      <formula>NOT(ISERROR(SEARCH("BAJO",K41)))</formula>
    </cfRule>
  </conditionalFormatting>
  <conditionalFormatting sqref="O55:O56">
    <cfRule type="containsText" dxfId="284" priority="271" operator="containsText" text="MUY BAJO">
      <formula>NOT(ISERROR(SEARCH("MUY BAJO",O55)))</formula>
    </cfRule>
    <cfRule type="containsText" dxfId="283" priority="272" operator="containsText" text="MUY ALTO">
      <formula>NOT(ISERROR(SEARCH("MUY ALTO",O55)))</formula>
    </cfRule>
    <cfRule type="containsText" dxfId="282" priority="273" operator="containsText" text="ALTO">
      <formula>NOT(ISERROR(SEARCH("ALTO",O55)))</formula>
    </cfRule>
    <cfRule type="containsText" dxfId="281" priority="274" operator="containsText" text="MEDIO">
      <formula>NOT(ISERROR(SEARCH("MEDIO",O55)))</formula>
    </cfRule>
    <cfRule type="containsText" dxfId="280" priority="275" operator="containsText" text="BAJO">
      <formula>NOT(ISERROR(SEARCH("BAJO",O55)))</formula>
    </cfRule>
  </conditionalFormatting>
  <conditionalFormatting sqref="M55:M56">
    <cfRule type="containsText" dxfId="279" priority="281" operator="containsText" text="MUY BAJO">
      <formula>NOT(ISERROR(SEARCH("MUY BAJO",M55)))</formula>
    </cfRule>
    <cfRule type="containsText" dxfId="278" priority="282" operator="containsText" text="MUY ALTO">
      <formula>NOT(ISERROR(SEARCH("MUY ALTO",M55)))</formula>
    </cfRule>
    <cfRule type="containsText" dxfId="277" priority="283" operator="containsText" text="ALTO">
      <formula>NOT(ISERROR(SEARCH("ALTO",M55)))</formula>
    </cfRule>
    <cfRule type="containsText" dxfId="276" priority="284" operator="containsText" text="MEDIO">
      <formula>NOT(ISERROR(SEARCH("MEDIO",M55)))</formula>
    </cfRule>
    <cfRule type="containsText" dxfId="275" priority="285" operator="containsText" text="BAJO">
      <formula>NOT(ISERROR(SEARCH("BAJO",M55)))</formula>
    </cfRule>
  </conditionalFormatting>
  <conditionalFormatting sqref="K55:K56">
    <cfRule type="containsText" dxfId="274" priority="276" operator="containsText" text="MUY BAJO">
      <formula>NOT(ISERROR(SEARCH("MUY BAJO",K55)))</formula>
    </cfRule>
    <cfRule type="containsText" dxfId="273" priority="277" operator="containsText" text="MUY ALTO">
      <formula>NOT(ISERROR(SEARCH("MUY ALTO",K55)))</formula>
    </cfRule>
    <cfRule type="containsText" dxfId="272" priority="278" operator="containsText" text="ALTO">
      <formula>NOT(ISERROR(SEARCH("ALTO",K55)))</formula>
    </cfRule>
    <cfRule type="containsText" dxfId="271" priority="279" operator="containsText" text="MEDIO">
      <formula>NOT(ISERROR(SEARCH("MEDIO",K55)))</formula>
    </cfRule>
    <cfRule type="containsText" dxfId="270" priority="280" operator="containsText" text="BAJO">
      <formula>NOT(ISERROR(SEARCH("BAJO",K55)))</formula>
    </cfRule>
  </conditionalFormatting>
  <conditionalFormatting sqref="O58">
    <cfRule type="containsText" dxfId="269" priority="256" operator="containsText" text="MUY BAJO">
      <formula>NOT(ISERROR(SEARCH("MUY BAJO",O58)))</formula>
    </cfRule>
    <cfRule type="containsText" dxfId="268" priority="257" operator="containsText" text="MUY ALTO">
      <formula>NOT(ISERROR(SEARCH("MUY ALTO",O58)))</formula>
    </cfRule>
    <cfRule type="containsText" dxfId="267" priority="258" operator="containsText" text="ALTO">
      <formula>NOT(ISERROR(SEARCH("ALTO",O58)))</formula>
    </cfRule>
    <cfRule type="containsText" dxfId="266" priority="259" operator="containsText" text="MEDIO">
      <formula>NOT(ISERROR(SEARCH("MEDIO",O58)))</formula>
    </cfRule>
    <cfRule type="containsText" dxfId="265" priority="260" operator="containsText" text="BAJO">
      <formula>NOT(ISERROR(SEARCH("BAJO",O58)))</formula>
    </cfRule>
  </conditionalFormatting>
  <conditionalFormatting sqref="M58">
    <cfRule type="containsText" dxfId="264" priority="266" operator="containsText" text="MUY BAJO">
      <formula>NOT(ISERROR(SEARCH("MUY BAJO",M58)))</formula>
    </cfRule>
    <cfRule type="containsText" dxfId="263" priority="267" operator="containsText" text="MUY ALTO">
      <formula>NOT(ISERROR(SEARCH("MUY ALTO",M58)))</formula>
    </cfRule>
    <cfRule type="containsText" dxfId="262" priority="268" operator="containsText" text="ALTO">
      <formula>NOT(ISERROR(SEARCH("ALTO",M58)))</formula>
    </cfRule>
    <cfRule type="containsText" dxfId="261" priority="269" operator="containsText" text="MEDIO">
      <formula>NOT(ISERROR(SEARCH("MEDIO",M58)))</formula>
    </cfRule>
    <cfRule type="containsText" dxfId="260" priority="270" operator="containsText" text="BAJO">
      <formula>NOT(ISERROR(SEARCH("BAJO",M58)))</formula>
    </cfRule>
  </conditionalFormatting>
  <conditionalFormatting sqref="K58">
    <cfRule type="containsText" dxfId="259" priority="261" operator="containsText" text="MUY BAJO">
      <formula>NOT(ISERROR(SEARCH("MUY BAJO",K58)))</formula>
    </cfRule>
    <cfRule type="containsText" dxfId="258" priority="262" operator="containsText" text="MUY ALTO">
      <formula>NOT(ISERROR(SEARCH("MUY ALTO",K58)))</formula>
    </cfRule>
    <cfRule type="containsText" dxfId="257" priority="263" operator="containsText" text="ALTO">
      <formula>NOT(ISERROR(SEARCH("ALTO",K58)))</formula>
    </cfRule>
    <cfRule type="containsText" dxfId="256" priority="264" operator="containsText" text="MEDIO">
      <formula>NOT(ISERROR(SEARCH("MEDIO",K58)))</formula>
    </cfRule>
    <cfRule type="containsText" dxfId="255" priority="265" operator="containsText" text="BAJO">
      <formula>NOT(ISERROR(SEARCH("BAJO",K58)))</formula>
    </cfRule>
  </conditionalFormatting>
  <conditionalFormatting sqref="O60:O62">
    <cfRule type="containsText" dxfId="254" priority="241" operator="containsText" text="MUY BAJO">
      <formula>NOT(ISERROR(SEARCH("MUY BAJO",O60)))</formula>
    </cfRule>
    <cfRule type="containsText" dxfId="253" priority="242" operator="containsText" text="MUY ALTO">
      <formula>NOT(ISERROR(SEARCH("MUY ALTO",O60)))</formula>
    </cfRule>
    <cfRule type="containsText" dxfId="252" priority="243" operator="containsText" text="ALTO">
      <formula>NOT(ISERROR(SEARCH("ALTO",O60)))</formula>
    </cfRule>
    <cfRule type="containsText" dxfId="251" priority="244" operator="containsText" text="MEDIO">
      <formula>NOT(ISERROR(SEARCH("MEDIO",O60)))</formula>
    </cfRule>
    <cfRule type="containsText" dxfId="250" priority="245" operator="containsText" text="BAJO">
      <formula>NOT(ISERROR(SEARCH("BAJO",O60)))</formula>
    </cfRule>
  </conditionalFormatting>
  <conditionalFormatting sqref="M60:M62">
    <cfRule type="containsText" dxfId="249" priority="251" operator="containsText" text="MUY BAJO">
      <formula>NOT(ISERROR(SEARCH("MUY BAJO",M60)))</formula>
    </cfRule>
    <cfRule type="containsText" dxfId="248" priority="252" operator="containsText" text="MUY ALTO">
      <formula>NOT(ISERROR(SEARCH("MUY ALTO",M60)))</formula>
    </cfRule>
    <cfRule type="containsText" dxfId="247" priority="253" operator="containsText" text="ALTO">
      <formula>NOT(ISERROR(SEARCH("ALTO",M60)))</formula>
    </cfRule>
    <cfRule type="containsText" dxfId="246" priority="254" operator="containsText" text="MEDIO">
      <formula>NOT(ISERROR(SEARCH("MEDIO",M60)))</formula>
    </cfRule>
    <cfRule type="containsText" dxfId="245" priority="255" operator="containsText" text="BAJO">
      <formula>NOT(ISERROR(SEARCH("BAJO",M60)))</formula>
    </cfRule>
  </conditionalFormatting>
  <conditionalFormatting sqref="K60:K62">
    <cfRule type="containsText" dxfId="244" priority="246" operator="containsText" text="MUY BAJO">
      <formula>NOT(ISERROR(SEARCH("MUY BAJO",K60)))</formula>
    </cfRule>
    <cfRule type="containsText" dxfId="243" priority="247" operator="containsText" text="MUY ALTO">
      <formula>NOT(ISERROR(SEARCH("MUY ALTO",K60)))</formula>
    </cfRule>
    <cfRule type="containsText" dxfId="242" priority="248" operator="containsText" text="ALTO">
      <formula>NOT(ISERROR(SEARCH("ALTO",K60)))</formula>
    </cfRule>
    <cfRule type="containsText" dxfId="241" priority="249" operator="containsText" text="MEDIO">
      <formula>NOT(ISERROR(SEARCH("MEDIO",K60)))</formula>
    </cfRule>
    <cfRule type="containsText" dxfId="240" priority="250" operator="containsText" text="BAJO">
      <formula>NOT(ISERROR(SEARCH("BAJO",K60)))</formula>
    </cfRule>
  </conditionalFormatting>
  <conditionalFormatting sqref="O65:O68">
    <cfRule type="containsText" dxfId="239" priority="226" operator="containsText" text="MUY BAJO">
      <formula>NOT(ISERROR(SEARCH("MUY BAJO",O65)))</formula>
    </cfRule>
    <cfRule type="containsText" dxfId="238" priority="227" operator="containsText" text="MUY ALTO">
      <formula>NOT(ISERROR(SEARCH("MUY ALTO",O65)))</formula>
    </cfRule>
    <cfRule type="containsText" dxfId="237" priority="228" operator="containsText" text="ALTO">
      <formula>NOT(ISERROR(SEARCH("ALTO",O65)))</formula>
    </cfRule>
    <cfRule type="containsText" dxfId="236" priority="229" operator="containsText" text="MEDIO">
      <formula>NOT(ISERROR(SEARCH("MEDIO",O65)))</formula>
    </cfRule>
    <cfRule type="containsText" dxfId="235" priority="230" operator="containsText" text="BAJO">
      <formula>NOT(ISERROR(SEARCH("BAJO",O65)))</formula>
    </cfRule>
  </conditionalFormatting>
  <conditionalFormatting sqref="M65:M68">
    <cfRule type="containsText" dxfId="234" priority="236" operator="containsText" text="MUY BAJO">
      <formula>NOT(ISERROR(SEARCH("MUY BAJO",M65)))</formula>
    </cfRule>
    <cfRule type="containsText" dxfId="233" priority="237" operator="containsText" text="MUY ALTO">
      <formula>NOT(ISERROR(SEARCH("MUY ALTO",M65)))</formula>
    </cfRule>
    <cfRule type="containsText" dxfId="232" priority="238" operator="containsText" text="ALTO">
      <formula>NOT(ISERROR(SEARCH("ALTO",M65)))</formula>
    </cfRule>
    <cfRule type="containsText" dxfId="231" priority="239" operator="containsText" text="MEDIO">
      <formula>NOT(ISERROR(SEARCH("MEDIO",M65)))</formula>
    </cfRule>
    <cfRule type="containsText" dxfId="230" priority="240" operator="containsText" text="BAJO">
      <formula>NOT(ISERROR(SEARCH("BAJO",M65)))</formula>
    </cfRule>
  </conditionalFormatting>
  <conditionalFormatting sqref="K65:K68">
    <cfRule type="containsText" dxfId="229" priority="231" operator="containsText" text="MUY BAJO">
      <formula>NOT(ISERROR(SEARCH("MUY BAJO",K65)))</formula>
    </cfRule>
    <cfRule type="containsText" dxfId="228" priority="232" operator="containsText" text="MUY ALTO">
      <formula>NOT(ISERROR(SEARCH("MUY ALTO",K65)))</formula>
    </cfRule>
    <cfRule type="containsText" dxfId="227" priority="233" operator="containsText" text="ALTO">
      <formula>NOT(ISERROR(SEARCH("ALTO",K65)))</formula>
    </cfRule>
    <cfRule type="containsText" dxfId="226" priority="234" operator="containsText" text="MEDIO">
      <formula>NOT(ISERROR(SEARCH("MEDIO",K65)))</formula>
    </cfRule>
    <cfRule type="containsText" dxfId="225" priority="235" operator="containsText" text="BAJO">
      <formula>NOT(ISERROR(SEARCH("BAJO",K65)))</formula>
    </cfRule>
  </conditionalFormatting>
  <conditionalFormatting sqref="O70:O90">
    <cfRule type="containsText" dxfId="224" priority="211" operator="containsText" text="MUY BAJO">
      <formula>NOT(ISERROR(SEARCH("MUY BAJO",O70)))</formula>
    </cfRule>
    <cfRule type="containsText" dxfId="223" priority="212" operator="containsText" text="MUY ALTO">
      <formula>NOT(ISERROR(SEARCH("MUY ALTO",O70)))</formula>
    </cfRule>
    <cfRule type="containsText" dxfId="222" priority="213" operator="containsText" text="ALTO">
      <formula>NOT(ISERROR(SEARCH("ALTO",O70)))</formula>
    </cfRule>
    <cfRule type="containsText" dxfId="221" priority="214" operator="containsText" text="MEDIO">
      <formula>NOT(ISERROR(SEARCH("MEDIO",O70)))</formula>
    </cfRule>
    <cfRule type="containsText" dxfId="220" priority="215" operator="containsText" text="BAJO">
      <formula>NOT(ISERROR(SEARCH("BAJO",O70)))</formula>
    </cfRule>
  </conditionalFormatting>
  <conditionalFormatting sqref="M70:M90">
    <cfRule type="containsText" dxfId="219" priority="221" operator="containsText" text="MUY BAJO">
      <formula>NOT(ISERROR(SEARCH("MUY BAJO",M70)))</formula>
    </cfRule>
    <cfRule type="containsText" dxfId="218" priority="222" operator="containsText" text="MUY ALTO">
      <formula>NOT(ISERROR(SEARCH("MUY ALTO",M70)))</formula>
    </cfRule>
    <cfRule type="containsText" dxfId="217" priority="223" operator="containsText" text="ALTO">
      <formula>NOT(ISERROR(SEARCH("ALTO",M70)))</formula>
    </cfRule>
    <cfRule type="containsText" dxfId="216" priority="224" operator="containsText" text="MEDIO">
      <formula>NOT(ISERROR(SEARCH("MEDIO",M70)))</formula>
    </cfRule>
    <cfRule type="containsText" dxfId="215" priority="225" operator="containsText" text="BAJO">
      <formula>NOT(ISERROR(SEARCH("BAJO",M70)))</formula>
    </cfRule>
  </conditionalFormatting>
  <conditionalFormatting sqref="K70:K90">
    <cfRule type="containsText" dxfId="214" priority="216" operator="containsText" text="MUY BAJO">
      <formula>NOT(ISERROR(SEARCH("MUY BAJO",K70)))</formula>
    </cfRule>
    <cfRule type="containsText" dxfId="213" priority="217" operator="containsText" text="MUY ALTO">
      <formula>NOT(ISERROR(SEARCH("MUY ALTO",K70)))</formula>
    </cfRule>
    <cfRule type="containsText" dxfId="212" priority="218" operator="containsText" text="ALTO">
      <formula>NOT(ISERROR(SEARCH("ALTO",K70)))</formula>
    </cfRule>
    <cfRule type="containsText" dxfId="211" priority="219" operator="containsText" text="MEDIO">
      <formula>NOT(ISERROR(SEARCH("MEDIO",K70)))</formula>
    </cfRule>
    <cfRule type="containsText" dxfId="210" priority="220" operator="containsText" text="BAJO">
      <formula>NOT(ISERROR(SEARCH("BAJO",K70)))</formula>
    </cfRule>
  </conditionalFormatting>
  <conditionalFormatting sqref="O92:O105">
    <cfRule type="containsText" dxfId="209" priority="196" operator="containsText" text="MUY BAJO">
      <formula>NOT(ISERROR(SEARCH("MUY BAJO",O92)))</formula>
    </cfRule>
    <cfRule type="containsText" dxfId="208" priority="197" operator="containsText" text="MUY ALTO">
      <formula>NOT(ISERROR(SEARCH("MUY ALTO",O92)))</formula>
    </cfRule>
    <cfRule type="containsText" dxfId="207" priority="198" operator="containsText" text="ALTO">
      <formula>NOT(ISERROR(SEARCH("ALTO",O92)))</formula>
    </cfRule>
    <cfRule type="containsText" dxfId="206" priority="199" operator="containsText" text="MEDIO">
      <formula>NOT(ISERROR(SEARCH("MEDIO",O92)))</formula>
    </cfRule>
    <cfRule type="containsText" dxfId="205" priority="200" operator="containsText" text="BAJO">
      <formula>NOT(ISERROR(SEARCH("BAJO",O92)))</formula>
    </cfRule>
  </conditionalFormatting>
  <conditionalFormatting sqref="M92:M105">
    <cfRule type="containsText" dxfId="204" priority="206" operator="containsText" text="MUY BAJO">
      <formula>NOT(ISERROR(SEARCH("MUY BAJO",M92)))</formula>
    </cfRule>
    <cfRule type="containsText" dxfId="203" priority="207" operator="containsText" text="MUY ALTO">
      <formula>NOT(ISERROR(SEARCH("MUY ALTO",M92)))</formula>
    </cfRule>
    <cfRule type="containsText" dxfId="202" priority="208" operator="containsText" text="ALTO">
      <formula>NOT(ISERROR(SEARCH("ALTO",M92)))</formula>
    </cfRule>
    <cfRule type="containsText" dxfId="201" priority="209" operator="containsText" text="MEDIO">
      <formula>NOT(ISERROR(SEARCH("MEDIO",M92)))</formula>
    </cfRule>
    <cfRule type="containsText" dxfId="200" priority="210" operator="containsText" text="BAJO">
      <formula>NOT(ISERROR(SEARCH("BAJO",M92)))</formula>
    </cfRule>
  </conditionalFormatting>
  <conditionalFormatting sqref="K92:K105">
    <cfRule type="containsText" dxfId="199" priority="201" operator="containsText" text="MUY BAJO">
      <formula>NOT(ISERROR(SEARCH("MUY BAJO",K92)))</formula>
    </cfRule>
    <cfRule type="containsText" dxfId="198" priority="202" operator="containsText" text="MUY ALTO">
      <formula>NOT(ISERROR(SEARCH("MUY ALTO",K92)))</formula>
    </cfRule>
    <cfRule type="containsText" dxfId="197" priority="203" operator="containsText" text="ALTO">
      <formula>NOT(ISERROR(SEARCH("ALTO",K92)))</formula>
    </cfRule>
    <cfRule type="containsText" dxfId="196" priority="204" operator="containsText" text="MEDIO">
      <formula>NOT(ISERROR(SEARCH("MEDIO",K92)))</formula>
    </cfRule>
    <cfRule type="containsText" dxfId="195" priority="205" operator="containsText" text="BAJO">
      <formula>NOT(ISERROR(SEARCH("BAJO",K92)))</formula>
    </cfRule>
  </conditionalFormatting>
  <conditionalFormatting sqref="O107:O113">
    <cfRule type="containsText" dxfId="194" priority="181" operator="containsText" text="MUY BAJO">
      <formula>NOT(ISERROR(SEARCH("MUY BAJO",O107)))</formula>
    </cfRule>
    <cfRule type="containsText" dxfId="193" priority="182" operator="containsText" text="MUY ALTO">
      <formula>NOT(ISERROR(SEARCH("MUY ALTO",O107)))</formula>
    </cfRule>
    <cfRule type="containsText" dxfId="192" priority="183" operator="containsText" text="ALTO">
      <formula>NOT(ISERROR(SEARCH("ALTO",O107)))</formula>
    </cfRule>
    <cfRule type="containsText" dxfId="191" priority="184" operator="containsText" text="MEDIO">
      <formula>NOT(ISERROR(SEARCH("MEDIO",O107)))</formula>
    </cfRule>
    <cfRule type="containsText" dxfId="190" priority="185" operator="containsText" text="BAJO">
      <formula>NOT(ISERROR(SEARCH("BAJO",O107)))</formula>
    </cfRule>
  </conditionalFormatting>
  <conditionalFormatting sqref="M107:M113">
    <cfRule type="containsText" dxfId="189" priority="191" operator="containsText" text="MUY BAJO">
      <formula>NOT(ISERROR(SEARCH("MUY BAJO",M107)))</formula>
    </cfRule>
    <cfRule type="containsText" dxfId="188" priority="192" operator="containsText" text="MUY ALTO">
      <formula>NOT(ISERROR(SEARCH("MUY ALTO",M107)))</formula>
    </cfRule>
    <cfRule type="containsText" dxfId="187" priority="193" operator="containsText" text="ALTO">
      <formula>NOT(ISERROR(SEARCH("ALTO",M107)))</formula>
    </cfRule>
    <cfRule type="containsText" dxfId="186" priority="194" operator="containsText" text="MEDIO">
      <formula>NOT(ISERROR(SEARCH("MEDIO",M107)))</formula>
    </cfRule>
    <cfRule type="containsText" dxfId="185" priority="195" operator="containsText" text="BAJO">
      <formula>NOT(ISERROR(SEARCH("BAJO",M107)))</formula>
    </cfRule>
  </conditionalFormatting>
  <conditionalFormatting sqref="K107:K113">
    <cfRule type="containsText" dxfId="184" priority="186" operator="containsText" text="MUY BAJO">
      <formula>NOT(ISERROR(SEARCH("MUY BAJO",K107)))</formula>
    </cfRule>
    <cfRule type="containsText" dxfId="183" priority="187" operator="containsText" text="MUY ALTO">
      <formula>NOT(ISERROR(SEARCH("MUY ALTO",K107)))</formula>
    </cfRule>
    <cfRule type="containsText" dxfId="182" priority="188" operator="containsText" text="ALTO">
      <formula>NOT(ISERROR(SEARCH("ALTO",K107)))</formula>
    </cfRule>
    <cfRule type="containsText" dxfId="181" priority="189" operator="containsText" text="MEDIO">
      <formula>NOT(ISERROR(SEARCH("MEDIO",K107)))</formula>
    </cfRule>
    <cfRule type="containsText" dxfId="180" priority="190" operator="containsText" text="BAJO">
      <formula>NOT(ISERROR(SEARCH("BAJO",K107)))</formula>
    </cfRule>
  </conditionalFormatting>
  <conditionalFormatting sqref="O115:O118">
    <cfRule type="containsText" dxfId="179" priority="166" operator="containsText" text="MUY BAJO">
      <formula>NOT(ISERROR(SEARCH("MUY BAJO",O115)))</formula>
    </cfRule>
    <cfRule type="containsText" dxfId="178" priority="167" operator="containsText" text="MUY ALTO">
      <formula>NOT(ISERROR(SEARCH("MUY ALTO",O115)))</formula>
    </cfRule>
    <cfRule type="containsText" dxfId="177" priority="168" operator="containsText" text="ALTO">
      <formula>NOT(ISERROR(SEARCH("ALTO",O115)))</formula>
    </cfRule>
    <cfRule type="containsText" dxfId="176" priority="169" operator="containsText" text="MEDIO">
      <formula>NOT(ISERROR(SEARCH("MEDIO",O115)))</formula>
    </cfRule>
    <cfRule type="containsText" dxfId="175" priority="170" operator="containsText" text="BAJO">
      <formula>NOT(ISERROR(SEARCH("BAJO",O115)))</formula>
    </cfRule>
  </conditionalFormatting>
  <conditionalFormatting sqref="M115:M118">
    <cfRule type="containsText" dxfId="174" priority="176" operator="containsText" text="MUY BAJO">
      <formula>NOT(ISERROR(SEARCH("MUY BAJO",M115)))</formula>
    </cfRule>
    <cfRule type="containsText" dxfId="173" priority="177" operator="containsText" text="MUY ALTO">
      <formula>NOT(ISERROR(SEARCH("MUY ALTO",M115)))</formula>
    </cfRule>
    <cfRule type="containsText" dxfId="172" priority="178" operator="containsText" text="ALTO">
      <formula>NOT(ISERROR(SEARCH("ALTO",M115)))</formula>
    </cfRule>
    <cfRule type="containsText" dxfId="171" priority="179" operator="containsText" text="MEDIO">
      <formula>NOT(ISERROR(SEARCH("MEDIO",M115)))</formula>
    </cfRule>
    <cfRule type="containsText" dxfId="170" priority="180" operator="containsText" text="BAJO">
      <formula>NOT(ISERROR(SEARCH("BAJO",M115)))</formula>
    </cfRule>
  </conditionalFormatting>
  <conditionalFormatting sqref="K115:K118">
    <cfRule type="containsText" dxfId="169" priority="171" operator="containsText" text="MUY BAJO">
      <formula>NOT(ISERROR(SEARCH("MUY BAJO",K115)))</formula>
    </cfRule>
    <cfRule type="containsText" dxfId="168" priority="172" operator="containsText" text="MUY ALTO">
      <formula>NOT(ISERROR(SEARCH("MUY ALTO",K115)))</formula>
    </cfRule>
    <cfRule type="containsText" dxfId="167" priority="173" operator="containsText" text="ALTO">
      <formula>NOT(ISERROR(SEARCH("ALTO",K115)))</formula>
    </cfRule>
    <cfRule type="containsText" dxfId="166" priority="174" operator="containsText" text="MEDIO">
      <formula>NOT(ISERROR(SEARCH("MEDIO",K115)))</formula>
    </cfRule>
    <cfRule type="containsText" dxfId="165" priority="175" operator="containsText" text="BAJO">
      <formula>NOT(ISERROR(SEARCH("BAJO",K115)))</formula>
    </cfRule>
  </conditionalFormatting>
  <conditionalFormatting sqref="O120">
    <cfRule type="containsText" dxfId="164" priority="151" operator="containsText" text="MUY BAJO">
      <formula>NOT(ISERROR(SEARCH("MUY BAJO",O120)))</formula>
    </cfRule>
    <cfRule type="containsText" dxfId="163" priority="152" operator="containsText" text="MUY ALTO">
      <formula>NOT(ISERROR(SEARCH("MUY ALTO",O120)))</formula>
    </cfRule>
    <cfRule type="containsText" dxfId="162" priority="153" operator="containsText" text="ALTO">
      <formula>NOT(ISERROR(SEARCH("ALTO",O120)))</formula>
    </cfRule>
    <cfRule type="containsText" dxfId="161" priority="154" operator="containsText" text="MEDIO">
      <formula>NOT(ISERROR(SEARCH("MEDIO",O120)))</formula>
    </cfRule>
    <cfRule type="containsText" dxfId="160" priority="155" operator="containsText" text="BAJO">
      <formula>NOT(ISERROR(SEARCH("BAJO",O120)))</formula>
    </cfRule>
  </conditionalFormatting>
  <conditionalFormatting sqref="M120">
    <cfRule type="containsText" dxfId="159" priority="161" operator="containsText" text="MUY BAJO">
      <formula>NOT(ISERROR(SEARCH("MUY BAJO",M120)))</formula>
    </cfRule>
    <cfRule type="containsText" dxfId="158" priority="162" operator="containsText" text="MUY ALTO">
      <formula>NOT(ISERROR(SEARCH("MUY ALTO",M120)))</formula>
    </cfRule>
    <cfRule type="containsText" dxfId="157" priority="163" operator="containsText" text="ALTO">
      <formula>NOT(ISERROR(SEARCH("ALTO",M120)))</formula>
    </cfRule>
    <cfRule type="containsText" dxfId="156" priority="164" operator="containsText" text="MEDIO">
      <formula>NOT(ISERROR(SEARCH("MEDIO",M120)))</formula>
    </cfRule>
    <cfRule type="containsText" dxfId="155" priority="165" operator="containsText" text="BAJO">
      <formula>NOT(ISERROR(SEARCH("BAJO",M120)))</formula>
    </cfRule>
  </conditionalFormatting>
  <conditionalFormatting sqref="K120">
    <cfRule type="containsText" dxfId="154" priority="156" operator="containsText" text="MUY BAJO">
      <formula>NOT(ISERROR(SEARCH("MUY BAJO",K120)))</formula>
    </cfRule>
    <cfRule type="containsText" dxfId="153" priority="157" operator="containsText" text="MUY ALTO">
      <formula>NOT(ISERROR(SEARCH("MUY ALTO",K120)))</formula>
    </cfRule>
    <cfRule type="containsText" dxfId="152" priority="158" operator="containsText" text="ALTO">
      <formula>NOT(ISERROR(SEARCH("ALTO",K120)))</formula>
    </cfRule>
    <cfRule type="containsText" dxfId="151" priority="159" operator="containsText" text="MEDIO">
      <formula>NOT(ISERROR(SEARCH("MEDIO",K120)))</formula>
    </cfRule>
    <cfRule type="containsText" dxfId="150" priority="160" operator="containsText" text="BAJO">
      <formula>NOT(ISERROR(SEARCH("BAJO",K120)))</formula>
    </cfRule>
  </conditionalFormatting>
  <conditionalFormatting sqref="O123:O129">
    <cfRule type="containsText" dxfId="149" priority="136" operator="containsText" text="MUY BAJO">
      <formula>NOT(ISERROR(SEARCH("MUY BAJO",O123)))</formula>
    </cfRule>
    <cfRule type="containsText" dxfId="148" priority="137" operator="containsText" text="MUY ALTO">
      <formula>NOT(ISERROR(SEARCH("MUY ALTO",O123)))</formula>
    </cfRule>
    <cfRule type="containsText" dxfId="147" priority="138" operator="containsText" text="ALTO">
      <formula>NOT(ISERROR(SEARCH("ALTO",O123)))</formula>
    </cfRule>
    <cfRule type="containsText" dxfId="146" priority="139" operator="containsText" text="MEDIO">
      <formula>NOT(ISERROR(SEARCH("MEDIO",O123)))</formula>
    </cfRule>
    <cfRule type="containsText" dxfId="145" priority="140" operator="containsText" text="BAJO">
      <formula>NOT(ISERROR(SEARCH("BAJO",O123)))</formula>
    </cfRule>
  </conditionalFormatting>
  <conditionalFormatting sqref="M123:M129">
    <cfRule type="containsText" dxfId="144" priority="146" operator="containsText" text="MUY BAJO">
      <formula>NOT(ISERROR(SEARCH("MUY BAJO",M123)))</formula>
    </cfRule>
    <cfRule type="containsText" dxfId="143" priority="147" operator="containsText" text="MUY ALTO">
      <formula>NOT(ISERROR(SEARCH("MUY ALTO",M123)))</formula>
    </cfRule>
    <cfRule type="containsText" dxfId="142" priority="148" operator="containsText" text="ALTO">
      <formula>NOT(ISERROR(SEARCH("ALTO",M123)))</formula>
    </cfRule>
    <cfRule type="containsText" dxfId="141" priority="149" operator="containsText" text="MEDIO">
      <formula>NOT(ISERROR(SEARCH("MEDIO",M123)))</formula>
    </cfRule>
    <cfRule type="containsText" dxfId="140" priority="150" operator="containsText" text="BAJO">
      <formula>NOT(ISERROR(SEARCH("BAJO",M123)))</formula>
    </cfRule>
  </conditionalFormatting>
  <conditionalFormatting sqref="K123:K129">
    <cfRule type="containsText" dxfId="139" priority="141" operator="containsText" text="MUY BAJO">
      <formula>NOT(ISERROR(SEARCH("MUY BAJO",K123)))</formula>
    </cfRule>
    <cfRule type="containsText" dxfId="138" priority="142" operator="containsText" text="MUY ALTO">
      <formula>NOT(ISERROR(SEARCH("MUY ALTO",K123)))</formula>
    </cfRule>
    <cfRule type="containsText" dxfId="137" priority="143" operator="containsText" text="ALTO">
      <formula>NOT(ISERROR(SEARCH("ALTO",K123)))</formula>
    </cfRule>
    <cfRule type="containsText" dxfId="136" priority="144" operator="containsText" text="MEDIO">
      <formula>NOT(ISERROR(SEARCH("MEDIO",K123)))</formula>
    </cfRule>
    <cfRule type="containsText" dxfId="135" priority="145" operator="containsText" text="BAJO">
      <formula>NOT(ISERROR(SEARCH("BAJO",K123)))</formula>
    </cfRule>
  </conditionalFormatting>
  <conditionalFormatting sqref="O131:O133">
    <cfRule type="containsText" dxfId="134" priority="121" operator="containsText" text="MUY BAJO">
      <formula>NOT(ISERROR(SEARCH("MUY BAJO",O131)))</formula>
    </cfRule>
    <cfRule type="containsText" dxfId="133" priority="122" operator="containsText" text="MUY ALTO">
      <formula>NOT(ISERROR(SEARCH("MUY ALTO",O131)))</formula>
    </cfRule>
    <cfRule type="containsText" dxfId="132" priority="123" operator="containsText" text="ALTO">
      <formula>NOT(ISERROR(SEARCH("ALTO",O131)))</formula>
    </cfRule>
    <cfRule type="containsText" dxfId="131" priority="124" operator="containsText" text="MEDIO">
      <formula>NOT(ISERROR(SEARCH("MEDIO",O131)))</formula>
    </cfRule>
    <cfRule type="containsText" dxfId="130" priority="125" operator="containsText" text="BAJO">
      <formula>NOT(ISERROR(SEARCH("BAJO",O131)))</formula>
    </cfRule>
  </conditionalFormatting>
  <conditionalFormatting sqref="M131:M133">
    <cfRule type="containsText" dxfId="129" priority="131" operator="containsText" text="MUY BAJO">
      <formula>NOT(ISERROR(SEARCH("MUY BAJO",M131)))</formula>
    </cfRule>
    <cfRule type="containsText" dxfId="128" priority="132" operator="containsText" text="MUY ALTO">
      <formula>NOT(ISERROR(SEARCH("MUY ALTO",M131)))</formula>
    </cfRule>
    <cfRule type="containsText" dxfId="127" priority="133" operator="containsText" text="ALTO">
      <formula>NOT(ISERROR(SEARCH("ALTO",M131)))</formula>
    </cfRule>
    <cfRule type="containsText" dxfId="126" priority="134" operator="containsText" text="MEDIO">
      <formula>NOT(ISERROR(SEARCH("MEDIO",M131)))</formula>
    </cfRule>
    <cfRule type="containsText" dxfId="125" priority="135" operator="containsText" text="BAJO">
      <formula>NOT(ISERROR(SEARCH("BAJO",M131)))</formula>
    </cfRule>
  </conditionalFormatting>
  <conditionalFormatting sqref="K131:K133">
    <cfRule type="containsText" dxfId="124" priority="126" operator="containsText" text="MUY BAJO">
      <formula>NOT(ISERROR(SEARCH("MUY BAJO",K131)))</formula>
    </cfRule>
    <cfRule type="containsText" dxfId="123" priority="127" operator="containsText" text="MUY ALTO">
      <formula>NOT(ISERROR(SEARCH("MUY ALTO",K131)))</formula>
    </cfRule>
    <cfRule type="containsText" dxfId="122" priority="128" operator="containsText" text="ALTO">
      <formula>NOT(ISERROR(SEARCH("ALTO",K131)))</formula>
    </cfRule>
    <cfRule type="containsText" dxfId="121" priority="129" operator="containsText" text="MEDIO">
      <formula>NOT(ISERROR(SEARCH("MEDIO",K131)))</formula>
    </cfRule>
    <cfRule type="containsText" dxfId="120" priority="130" operator="containsText" text="BAJO">
      <formula>NOT(ISERROR(SEARCH("BAJO",K131)))</formula>
    </cfRule>
  </conditionalFormatting>
  <conditionalFormatting sqref="O135:O136">
    <cfRule type="containsText" dxfId="119" priority="106" operator="containsText" text="MUY BAJO">
      <formula>NOT(ISERROR(SEARCH("MUY BAJO",O135)))</formula>
    </cfRule>
    <cfRule type="containsText" dxfId="118" priority="107" operator="containsText" text="MUY ALTO">
      <formula>NOT(ISERROR(SEARCH("MUY ALTO",O135)))</formula>
    </cfRule>
    <cfRule type="containsText" dxfId="117" priority="108" operator="containsText" text="ALTO">
      <formula>NOT(ISERROR(SEARCH("ALTO",O135)))</formula>
    </cfRule>
    <cfRule type="containsText" dxfId="116" priority="109" operator="containsText" text="MEDIO">
      <formula>NOT(ISERROR(SEARCH("MEDIO",O135)))</formula>
    </cfRule>
    <cfRule type="containsText" dxfId="115" priority="110" operator="containsText" text="BAJO">
      <formula>NOT(ISERROR(SEARCH("BAJO",O135)))</formula>
    </cfRule>
  </conditionalFormatting>
  <conditionalFormatting sqref="M135:M136">
    <cfRule type="containsText" dxfId="114" priority="116" operator="containsText" text="MUY BAJO">
      <formula>NOT(ISERROR(SEARCH("MUY BAJO",M135)))</formula>
    </cfRule>
    <cfRule type="containsText" dxfId="113" priority="117" operator="containsText" text="MUY ALTO">
      <formula>NOT(ISERROR(SEARCH("MUY ALTO",M135)))</formula>
    </cfRule>
    <cfRule type="containsText" dxfId="112" priority="118" operator="containsText" text="ALTO">
      <formula>NOT(ISERROR(SEARCH("ALTO",M135)))</formula>
    </cfRule>
    <cfRule type="containsText" dxfId="111" priority="119" operator="containsText" text="MEDIO">
      <formula>NOT(ISERROR(SEARCH("MEDIO",M135)))</formula>
    </cfRule>
    <cfRule type="containsText" dxfId="110" priority="120" operator="containsText" text="BAJO">
      <formula>NOT(ISERROR(SEARCH("BAJO",M135)))</formula>
    </cfRule>
  </conditionalFormatting>
  <conditionalFormatting sqref="K135:K136">
    <cfRule type="containsText" dxfId="109" priority="111" operator="containsText" text="MUY BAJO">
      <formula>NOT(ISERROR(SEARCH("MUY BAJO",K135)))</formula>
    </cfRule>
    <cfRule type="containsText" dxfId="108" priority="112" operator="containsText" text="MUY ALTO">
      <formula>NOT(ISERROR(SEARCH("MUY ALTO",K135)))</formula>
    </cfRule>
    <cfRule type="containsText" dxfId="107" priority="113" operator="containsText" text="ALTO">
      <formula>NOT(ISERROR(SEARCH("ALTO",K135)))</formula>
    </cfRule>
    <cfRule type="containsText" dxfId="106" priority="114" operator="containsText" text="MEDIO">
      <formula>NOT(ISERROR(SEARCH("MEDIO",K135)))</formula>
    </cfRule>
    <cfRule type="containsText" dxfId="105" priority="115" operator="containsText" text="BAJO">
      <formula>NOT(ISERROR(SEARCH("BAJO",K135)))</formula>
    </cfRule>
  </conditionalFormatting>
  <conditionalFormatting sqref="O138:O140">
    <cfRule type="containsText" dxfId="104" priority="91" operator="containsText" text="MUY BAJO">
      <formula>NOT(ISERROR(SEARCH("MUY BAJO",O138)))</formula>
    </cfRule>
    <cfRule type="containsText" dxfId="103" priority="92" operator="containsText" text="MUY ALTO">
      <formula>NOT(ISERROR(SEARCH("MUY ALTO",O138)))</formula>
    </cfRule>
    <cfRule type="containsText" dxfId="102" priority="93" operator="containsText" text="ALTO">
      <formula>NOT(ISERROR(SEARCH("ALTO",O138)))</formula>
    </cfRule>
    <cfRule type="containsText" dxfId="101" priority="94" operator="containsText" text="MEDIO">
      <formula>NOT(ISERROR(SEARCH("MEDIO",O138)))</formula>
    </cfRule>
    <cfRule type="containsText" dxfId="100" priority="95" operator="containsText" text="BAJO">
      <formula>NOT(ISERROR(SEARCH("BAJO",O138)))</formula>
    </cfRule>
  </conditionalFormatting>
  <conditionalFormatting sqref="M138:M140">
    <cfRule type="containsText" dxfId="99" priority="101" operator="containsText" text="MUY BAJO">
      <formula>NOT(ISERROR(SEARCH("MUY BAJO",M138)))</formula>
    </cfRule>
    <cfRule type="containsText" dxfId="98" priority="102" operator="containsText" text="MUY ALTO">
      <formula>NOT(ISERROR(SEARCH("MUY ALTO",M138)))</formula>
    </cfRule>
    <cfRule type="containsText" dxfId="97" priority="103" operator="containsText" text="ALTO">
      <formula>NOT(ISERROR(SEARCH("ALTO",M138)))</formula>
    </cfRule>
    <cfRule type="containsText" dxfId="96" priority="104" operator="containsText" text="MEDIO">
      <formula>NOT(ISERROR(SEARCH("MEDIO",M138)))</formula>
    </cfRule>
    <cfRule type="containsText" dxfId="95" priority="105" operator="containsText" text="BAJO">
      <formula>NOT(ISERROR(SEARCH("BAJO",M138)))</formula>
    </cfRule>
  </conditionalFormatting>
  <conditionalFormatting sqref="K138:K140">
    <cfRule type="containsText" dxfId="94" priority="96" operator="containsText" text="MUY BAJO">
      <formula>NOT(ISERROR(SEARCH("MUY BAJO",K138)))</formula>
    </cfRule>
    <cfRule type="containsText" dxfId="93" priority="97" operator="containsText" text="MUY ALTO">
      <formula>NOT(ISERROR(SEARCH("MUY ALTO",K138)))</formula>
    </cfRule>
    <cfRule type="containsText" dxfId="92" priority="98" operator="containsText" text="ALTO">
      <formula>NOT(ISERROR(SEARCH("ALTO",K138)))</formula>
    </cfRule>
    <cfRule type="containsText" dxfId="91" priority="99" operator="containsText" text="MEDIO">
      <formula>NOT(ISERROR(SEARCH("MEDIO",K138)))</formula>
    </cfRule>
    <cfRule type="containsText" dxfId="90" priority="100" operator="containsText" text="BAJO">
      <formula>NOT(ISERROR(SEARCH("BAJO",K138)))</formula>
    </cfRule>
  </conditionalFormatting>
  <conditionalFormatting sqref="O142:O145">
    <cfRule type="containsText" dxfId="89" priority="76" operator="containsText" text="MUY BAJO">
      <formula>NOT(ISERROR(SEARCH("MUY BAJO",O142)))</formula>
    </cfRule>
    <cfRule type="containsText" dxfId="88" priority="77" operator="containsText" text="MUY ALTO">
      <formula>NOT(ISERROR(SEARCH("MUY ALTO",O142)))</formula>
    </cfRule>
    <cfRule type="containsText" dxfId="87" priority="78" operator="containsText" text="ALTO">
      <formula>NOT(ISERROR(SEARCH("ALTO",O142)))</formula>
    </cfRule>
    <cfRule type="containsText" dxfId="86" priority="79" operator="containsText" text="MEDIO">
      <formula>NOT(ISERROR(SEARCH("MEDIO",O142)))</formula>
    </cfRule>
    <cfRule type="containsText" dxfId="85" priority="80" operator="containsText" text="BAJO">
      <formula>NOT(ISERROR(SEARCH("BAJO",O142)))</formula>
    </cfRule>
  </conditionalFormatting>
  <conditionalFormatting sqref="M142:M145">
    <cfRule type="containsText" dxfId="84" priority="86" operator="containsText" text="MUY BAJO">
      <formula>NOT(ISERROR(SEARCH("MUY BAJO",M142)))</formula>
    </cfRule>
    <cfRule type="containsText" dxfId="83" priority="87" operator="containsText" text="MUY ALTO">
      <formula>NOT(ISERROR(SEARCH("MUY ALTO",M142)))</formula>
    </cfRule>
    <cfRule type="containsText" dxfId="82" priority="88" operator="containsText" text="ALTO">
      <formula>NOT(ISERROR(SEARCH("ALTO",M142)))</formula>
    </cfRule>
    <cfRule type="containsText" dxfId="81" priority="89" operator="containsText" text="MEDIO">
      <formula>NOT(ISERROR(SEARCH("MEDIO",M142)))</formula>
    </cfRule>
    <cfRule type="containsText" dxfId="80" priority="90" operator="containsText" text="BAJO">
      <formula>NOT(ISERROR(SEARCH("BAJO",M142)))</formula>
    </cfRule>
  </conditionalFormatting>
  <conditionalFormatting sqref="K142:K145">
    <cfRule type="containsText" dxfId="79" priority="81" operator="containsText" text="MUY BAJO">
      <formula>NOT(ISERROR(SEARCH("MUY BAJO",K142)))</formula>
    </cfRule>
    <cfRule type="containsText" dxfId="78" priority="82" operator="containsText" text="MUY ALTO">
      <formula>NOT(ISERROR(SEARCH("MUY ALTO",K142)))</formula>
    </cfRule>
    <cfRule type="containsText" dxfId="77" priority="83" operator="containsText" text="ALTO">
      <formula>NOT(ISERROR(SEARCH("ALTO",K142)))</formula>
    </cfRule>
    <cfRule type="containsText" dxfId="76" priority="84" operator="containsText" text="MEDIO">
      <formula>NOT(ISERROR(SEARCH("MEDIO",K142)))</formula>
    </cfRule>
    <cfRule type="containsText" dxfId="75" priority="85" operator="containsText" text="BAJO">
      <formula>NOT(ISERROR(SEARCH("BAJO",K142)))</formula>
    </cfRule>
  </conditionalFormatting>
  <conditionalFormatting sqref="O148:O152">
    <cfRule type="containsText" dxfId="74" priority="61" operator="containsText" text="MUY BAJO">
      <formula>NOT(ISERROR(SEARCH("MUY BAJO",O148)))</formula>
    </cfRule>
    <cfRule type="containsText" dxfId="73" priority="62" operator="containsText" text="MUY ALTO">
      <formula>NOT(ISERROR(SEARCH("MUY ALTO",O148)))</formula>
    </cfRule>
    <cfRule type="containsText" dxfId="72" priority="63" operator="containsText" text="ALTO">
      <formula>NOT(ISERROR(SEARCH("ALTO",O148)))</formula>
    </cfRule>
    <cfRule type="containsText" dxfId="71" priority="64" operator="containsText" text="MEDIO">
      <formula>NOT(ISERROR(SEARCH("MEDIO",O148)))</formula>
    </cfRule>
    <cfRule type="containsText" dxfId="70" priority="65" operator="containsText" text="BAJO">
      <formula>NOT(ISERROR(SEARCH("BAJO",O148)))</formula>
    </cfRule>
  </conditionalFormatting>
  <conditionalFormatting sqref="M148:M152">
    <cfRule type="containsText" dxfId="69" priority="71" operator="containsText" text="MUY BAJO">
      <formula>NOT(ISERROR(SEARCH("MUY BAJO",M148)))</formula>
    </cfRule>
    <cfRule type="containsText" dxfId="68" priority="72" operator="containsText" text="MUY ALTO">
      <formula>NOT(ISERROR(SEARCH("MUY ALTO",M148)))</formula>
    </cfRule>
    <cfRule type="containsText" dxfId="67" priority="73" operator="containsText" text="ALTO">
      <formula>NOT(ISERROR(SEARCH("ALTO",M148)))</formula>
    </cfRule>
    <cfRule type="containsText" dxfId="66" priority="74" operator="containsText" text="MEDIO">
      <formula>NOT(ISERROR(SEARCH("MEDIO",M148)))</formula>
    </cfRule>
    <cfRule type="containsText" dxfId="65" priority="75" operator="containsText" text="BAJO">
      <formula>NOT(ISERROR(SEARCH("BAJO",M148)))</formula>
    </cfRule>
  </conditionalFormatting>
  <conditionalFormatting sqref="K148:K152">
    <cfRule type="containsText" dxfId="64" priority="66" operator="containsText" text="MUY BAJO">
      <formula>NOT(ISERROR(SEARCH("MUY BAJO",K148)))</formula>
    </cfRule>
    <cfRule type="containsText" dxfId="63" priority="67" operator="containsText" text="MUY ALTO">
      <formula>NOT(ISERROR(SEARCH("MUY ALTO",K148)))</formula>
    </cfRule>
    <cfRule type="containsText" dxfId="62" priority="68" operator="containsText" text="ALTO">
      <formula>NOT(ISERROR(SEARCH("ALTO",K148)))</formula>
    </cfRule>
    <cfRule type="containsText" dxfId="61" priority="69" operator="containsText" text="MEDIO">
      <formula>NOT(ISERROR(SEARCH("MEDIO",K148)))</formula>
    </cfRule>
    <cfRule type="containsText" dxfId="60" priority="70" operator="containsText" text="BAJO">
      <formula>NOT(ISERROR(SEARCH("BAJO",K148)))</formula>
    </cfRule>
  </conditionalFormatting>
  <conditionalFormatting sqref="O154:O165">
    <cfRule type="containsText" dxfId="59" priority="46" operator="containsText" text="MUY BAJO">
      <formula>NOT(ISERROR(SEARCH("MUY BAJO",O154)))</formula>
    </cfRule>
    <cfRule type="containsText" dxfId="58" priority="47" operator="containsText" text="MUY ALTO">
      <formula>NOT(ISERROR(SEARCH("MUY ALTO",O154)))</formula>
    </cfRule>
    <cfRule type="containsText" dxfId="57" priority="48" operator="containsText" text="ALTO">
      <formula>NOT(ISERROR(SEARCH("ALTO",O154)))</formula>
    </cfRule>
    <cfRule type="containsText" dxfId="56" priority="49" operator="containsText" text="MEDIO">
      <formula>NOT(ISERROR(SEARCH("MEDIO",O154)))</formula>
    </cfRule>
    <cfRule type="containsText" dxfId="55" priority="50" operator="containsText" text="BAJO">
      <formula>NOT(ISERROR(SEARCH("BAJO",O154)))</formula>
    </cfRule>
  </conditionalFormatting>
  <conditionalFormatting sqref="M154:M165">
    <cfRule type="containsText" dxfId="54" priority="56" operator="containsText" text="MUY BAJO">
      <formula>NOT(ISERROR(SEARCH("MUY BAJO",M154)))</formula>
    </cfRule>
    <cfRule type="containsText" dxfId="53" priority="57" operator="containsText" text="MUY ALTO">
      <formula>NOT(ISERROR(SEARCH("MUY ALTO",M154)))</formula>
    </cfRule>
    <cfRule type="containsText" dxfId="52" priority="58" operator="containsText" text="ALTO">
      <formula>NOT(ISERROR(SEARCH("ALTO",M154)))</formula>
    </cfRule>
    <cfRule type="containsText" dxfId="51" priority="59" operator="containsText" text="MEDIO">
      <formula>NOT(ISERROR(SEARCH("MEDIO",M154)))</formula>
    </cfRule>
    <cfRule type="containsText" dxfId="50" priority="60" operator="containsText" text="BAJO">
      <formula>NOT(ISERROR(SEARCH("BAJO",M154)))</formula>
    </cfRule>
  </conditionalFormatting>
  <conditionalFormatting sqref="K154:K165">
    <cfRule type="containsText" dxfId="49" priority="51" operator="containsText" text="MUY BAJO">
      <formula>NOT(ISERROR(SEARCH("MUY BAJO",K154)))</formula>
    </cfRule>
    <cfRule type="containsText" dxfId="48" priority="52" operator="containsText" text="MUY ALTO">
      <formula>NOT(ISERROR(SEARCH("MUY ALTO",K154)))</formula>
    </cfRule>
    <cfRule type="containsText" dxfId="47" priority="53" operator="containsText" text="ALTO">
      <formula>NOT(ISERROR(SEARCH("ALTO",K154)))</formula>
    </cfRule>
    <cfRule type="containsText" dxfId="46" priority="54" operator="containsText" text="MEDIO">
      <formula>NOT(ISERROR(SEARCH("MEDIO",K154)))</formula>
    </cfRule>
    <cfRule type="containsText" dxfId="45" priority="55" operator="containsText" text="BAJO">
      <formula>NOT(ISERROR(SEARCH("BAJO",K154)))</formula>
    </cfRule>
  </conditionalFormatting>
  <conditionalFormatting sqref="O167:O171">
    <cfRule type="containsText" dxfId="44" priority="31" operator="containsText" text="MUY BAJO">
      <formula>NOT(ISERROR(SEARCH("MUY BAJO",O167)))</formula>
    </cfRule>
    <cfRule type="containsText" dxfId="43" priority="32" operator="containsText" text="MUY ALTO">
      <formula>NOT(ISERROR(SEARCH("MUY ALTO",O167)))</formula>
    </cfRule>
    <cfRule type="containsText" dxfId="42" priority="33" operator="containsText" text="ALTO">
      <formula>NOT(ISERROR(SEARCH("ALTO",O167)))</formula>
    </cfRule>
    <cfRule type="containsText" dxfId="41" priority="34" operator="containsText" text="MEDIO">
      <formula>NOT(ISERROR(SEARCH("MEDIO",O167)))</formula>
    </cfRule>
    <cfRule type="containsText" dxfId="40" priority="35" operator="containsText" text="BAJO">
      <formula>NOT(ISERROR(SEARCH("BAJO",O167)))</formula>
    </cfRule>
  </conditionalFormatting>
  <conditionalFormatting sqref="M167:M171">
    <cfRule type="containsText" dxfId="39" priority="41" operator="containsText" text="MUY BAJO">
      <formula>NOT(ISERROR(SEARCH("MUY BAJO",M167)))</formula>
    </cfRule>
    <cfRule type="containsText" dxfId="38" priority="42" operator="containsText" text="MUY ALTO">
      <formula>NOT(ISERROR(SEARCH("MUY ALTO",M167)))</formula>
    </cfRule>
    <cfRule type="containsText" dxfId="37" priority="43" operator="containsText" text="ALTO">
      <formula>NOT(ISERROR(SEARCH("ALTO",M167)))</formula>
    </cfRule>
    <cfRule type="containsText" dxfId="36" priority="44" operator="containsText" text="MEDIO">
      <formula>NOT(ISERROR(SEARCH("MEDIO",M167)))</formula>
    </cfRule>
    <cfRule type="containsText" dxfId="35" priority="45" operator="containsText" text="BAJO">
      <formula>NOT(ISERROR(SEARCH("BAJO",M167)))</formula>
    </cfRule>
  </conditionalFormatting>
  <conditionalFormatting sqref="K167:K171">
    <cfRule type="containsText" dxfId="34" priority="36" operator="containsText" text="MUY BAJO">
      <formula>NOT(ISERROR(SEARCH("MUY BAJO",K167)))</formula>
    </cfRule>
    <cfRule type="containsText" dxfId="33" priority="37" operator="containsText" text="MUY ALTO">
      <formula>NOT(ISERROR(SEARCH("MUY ALTO",K167)))</formula>
    </cfRule>
    <cfRule type="containsText" dxfId="32" priority="38" operator="containsText" text="ALTO">
      <formula>NOT(ISERROR(SEARCH("ALTO",K167)))</formula>
    </cfRule>
    <cfRule type="containsText" dxfId="31" priority="39" operator="containsText" text="MEDIO">
      <formula>NOT(ISERROR(SEARCH("MEDIO",K167)))</formula>
    </cfRule>
    <cfRule type="containsText" dxfId="30" priority="40" operator="containsText" text="BAJO">
      <formula>NOT(ISERROR(SEARCH("BAJO",K167)))</formula>
    </cfRule>
  </conditionalFormatting>
  <conditionalFormatting sqref="O173:O179">
    <cfRule type="containsText" dxfId="29" priority="16" operator="containsText" text="MUY BAJO">
      <formula>NOT(ISERROR(SEARCH("MUY BAJO",O173)))</formula>
    </cfRule>
    <cfRule type="containsText" dxfId="28" priority="17" operator="containsText" text="MUY ALTO">
      <formula>NOT(ISERROR(SEARCH("MUY ALTO",O173)))</formula>
    </cfRule>
    <cfRule type="containsText" dxfId="27" priority="18" operator="containsText" text="ALTO">
      <formula>NOT(ISERROR(SEARCH("ALTO",O173)))</formula>
    </cfRule>
    <cfRule type="containsText" dxfId="26" priority="19" operator="containsText" text="MEDIO">
      <formula>NOT(ISERROR(SEARCH("MEDIO",O173)))</formula>
    </cfRule>
    <cfRule type="containsText" dxfId="25" priority="20" operator="containsText" text="BAJO">
      <formula>NOT(ISERROR(SEARCH("BAJO",O173)))</formula>
    </cfRule>
  </conditionalFormatting>
  <conditionalFormatting sqref="M173:M179">
    <cfRule type="containsText" dxfId="24" priority="26" operator="containsText" text="MUY BAJO">
      <formula>NOT(ISERROR(SEARCH("MUY BAJO",M173)))</formula>
    </cfRule>
    <cfRule type="containsText" dxfId="23" priority="27" operator="containsText" text="MUY ALTO">
      <formula>NOT(ISERROR(SEARCH("MUY ALTO",M173)))</formula>
    </cfRule>
    <cfRule type="containsText" dxfId="22" priority="28" operator="containsText" text="ALTO">
      <formula>NOT(ISERROR(SEARCH("ALTO",M173)))</formula>
    </cfRule>
    <cfRule type="containsText" dxfId="21" priority="29" operator="containsText" text="MEDIO">
      <formula>NOT(ISERROR(SEARCH("MEDIO",M173)))</formula>
    </cfRule>
    <cfRule type="containsText" dxfId="20" priority="30" operator="containsText" text="BAJO">
      <formula>NOT(ISERROR(SEARCH("BAJO",M173)))</formula>
    </cfRule>
  </conditionalFormatting>
  <conditionalFormatting sqref="K173:K179">
    <cfRule type="containsText" dxfId="19" priority="21" operator="containsText" text="MUY BAJO">
      <formula>NOT(ISERROR(SEARCH("MUY BAJO",K173)))</formula>
    </cfRule>
    <cfRule type="containsText" dxfId="18" priority="22" operator="containsText" text="MUY ALTO">
      <formula>NOT(ISERROR(SEARCH("MUY ALTO",K173)))</formula>
    </cfRule>
    <cfRule type="containsText" dxfId="17" priority="23" operator="containsText" text="ALTO">
      <formula>NOT(ISERROR(SEARCH("ALTO",K173)))</formula>
    </cfRule>
    <cfRule type="containsText" dxfId="16" priority="24" operator="containsText" text="MEDIO">
      <formula>NOT(ISERROR(SEARCH("MEDIO",K173)))</formula>
    </cfRule>
    <cfRule type="containsText" dxfId="15" priority="25" operator="containsText" text="BAJO">
      <formula>NOT(ISERROR(SEARCH("BAJO",K173)))</formula>
    </cfRule>
  </conditionalFormatting>
  <conditionalFormatting sqref="O181:O182">
    <cfRule type="containsText" dxfId="14" priority="1" operator="containsText" text="MUY BAJO">
      <formula>NOT(ISERROR(SEARCH("MUY BAJO",O181)))</formula>
    </cfRule>
    <cfRule type="containsText" dxfId="13" priority="2" operator="containsText" text="MUY ALTO">
      <formula>NOT(ISERROR(SEARCH("MUY ALTO",O181)))</formula>
    </cfRule>
    <cfRule type="containsText" dxfId="12" priority="3" operator="containsText" text="ALTO">
      <formula>NOT(ISERROR(SEARCH("ALTO",O181)))</formula>
    </cfRule>
    <cfRule type="containsText" dxfId="11" priority="4" operator="containsText" text="MEDIO">
      <formula>NOT(ISERROR(SEARCH("MEDIO",O181)))</formula>
    </cfRule>
    <cfRule type="containsText" dxfId="10" priority="5" operator="containsText" text="BAJO">
      <formula>NOT(ISERROR(SEARCH("BAJO",O181)))</formula>
    </cfRule>
  </conditionalFormatting>
  <conditionalFormatting sqref="M181:M182">
    <cfRule type="containsText" dxfId="9" priority="11" operator="containsText" text="MUY BAJO">
      <formula>NOT(ISERROR(SEARCH("MUY BAJO",M181)))</formula>
    </cfRule>
    <cfRule type="containsText" dxfId="8" priority="12" operator="containsText" text="MUY ALTO">
      <formula>NOT(ISERROR(SEARCH("MUY ALTO",M181)))</formula>
    </cfRule>
    <cfRule type="containsText" dxfId="7" priority="13" operator="containsText" text="ALTO">
      <formula>NOT(ISERROR(SEARCH("ALTO",M181)))</formula>
    </cfRule>
    <cfRule type="containsText" dxfId="6" priority="14" operator="containsText" text="MEDIO">
      <formula>NOT(ISERROR(SEARCH("MEDIO",M181)))</formula>
    </cfRule>
    <cfRule type="containsText" dxfId="5" priority="15" operator="containsText" text="BAJO">
      <formula>NOT(ISERROR(SEARCH("BAJO",M181)))</formula>
    </cfRule>
  </conditionalFormatting>
  <conditionalFormatting sqref="K181:K182">
    <cfRule type="containsText" dxfId="4" priority="6" operator="containsText" text="MUY BAJO">
      <formula>NOT(ISERROR(SEARCH("MUY BAJO",K181)))</formula>
    </cfRule>
    <cfRule type="containsText" dxfId="3" priority="7" operator="containsText" text="MUY ALTO">
      <formula>NOT(ISERROR(SEARCH("MUY ALTO",K181)))</formula>
    </cfRule>
    <cfRule type="containsText" dxfId="2" priority="8" operator="containsText" text="ALTO">
      <formula>NOT(ISERROR(SEARCH("ALTO",K181)))</formula>
    </cfRule>
    <cfRule type="containsText" dxfId="1" priority="9" operator="containsText" text="MEDIO">
      <formula>NOT(ISERROR(SEARCH("MEDIO",K181)))</formula>
    </cfRule>
    <cfRule type="containsText" dxfId="0" priority="10" operator="containsText" text="BAJO">
      <formula>NOT(ISERROR(SEARCH("BAJO",K181)))</formula>
    </cfRule>
  </conditionalFormatting>
  <pageMargins left="0.7" right="0.7" top="0.75" bottom="0.75" header="0.3" footer="0.3"/>
  <pageSetup orientation="portrait" horizontalDpi="4294967292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T2-2021 ACC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Usco</cp:lastModifiedBy>
  <dcterms:created xsi:type="dcterms:W3CDTF">2021-10-23T03:31:00Z</dcterms:created>
  <dcterms:modified xsi:type="dcterms:W3CDTF">2021-11-04T20:56:35Z</dcterms:modified>
</cp:coreProperties>
</file>